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05E1512B-A7BD-9847-A3D1-FBC8BD91E885}" xr6:coauthVersionLast="47" xr6:coauthVersionMax="47" xr10:uidLastSave="{00000000-0000-0000-0000-000000000000}"/>
  <bookViews>
    <workbookView xWindow="18380" yWindow="4260" windowWidth="33060" windowHeight="23400" tabRatio="627" activeTab="1" xr2:uid="{00000000-000D-0000-FFFF-FFFF00000000}"/>
  </bookViews>
  <sheets>
    <sheet name="CB_DATA_" sheetId="79" state="veryHidden" r:id="rId1"/>
    <sheet name="Copyright" sheetId="102" r:id="rId2"/>
    <sheet name="app-vanguard-it" sheetId="95" r:id="rId3"/>
    <sheet name="app-cypress-technologies" sheetId="96" r:id="rId4"/>
    <sheet name="app-roarke-stone" sheetId="97" r:id="rId5"/>
    <sheet name="Format Definitions" sheetId="81" r:id="rId6"/>
  </sheets>
  <definedNames>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npval" localSheetId="4">#REF!</definedName>
    <definedName name="npval" localSheetId="5">#REF!</definedName>
    <definedName name="npval">#REF!</definedName>
    <definedName name="npval_n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97" l="1"/>
  <c r="H48" i="97" s="1"/>
  <c r="I45" i="97"/>
  <c r="J45" i="97" s="1"/>
  <c r="K45" i="97" s="1"/>
  <c r="L45" i="97" s="1"/>
  <c r="K71" i="97"/>
  <c r="J71" i="97"/>
  <c r="I71" i="97"/>
  <c r="H72" i="97" s="1"/>
  <c r="I69" i="97"/>
  <c r="J69" i="97" s="1"/>
  <c r="K69" i="97" s="1"/>
  <c r="L69" i="97" s="1"/>
  <c r="J63" i="97"/>
  <c r="I63" i="97"/>
  <c r="H64" i="97" s="1"/>
  <c r="I61" i="97"/>
  <c r="J61" i="97" s="1"/>
  <c r="K61" i="97" s="1"/>
  <c r="L61" i="97" s="1"/>
  <c r="I55" i="97"/>
  <c r="H56" i="97" s="1"/>
  <c r="I53" i="97"/>
  <c r="J53" i="97" s="1"/>
  <c r="K53" i="97" s="1"/>
  <c r="L53" i="97" s="1"/>
  <c r="F35" i="96"/>
  <c r="AA63" i="96"/>
  <c r="AB44" i="96"/>
  <c r="AA45" i="96"/>
  <c r="AB45" i="96" s="1"/>
  <c r="AB43" i="96"/>
  <c r="AL58" i="96" s="1"/>
  <c r="AL59" i="96" s="1"/>
  <c r="AL60" i="96" s="1"/>
  <c r="AK58" i="96"/>
  <c r="H94" i="95"/>
  <c r="H95" i="95" s="1"/>
  <c r="I94" i="95"/>
  <c r="I95" i="95" s="1"/>
  <c r="J94" i="95"/>
  <c r="J95" i="95" s="1"/>
  <c r="G94" i="95"/>
  <c r="G95" i="95" s="1"/>
  <c r="G70" i="95"/>
  <c r="G71" i="95" s="1"/>
  <c r="G72" i="95" s="1"/>
  <c r="G73" i="95" s="1"/>
  <c r="G74" i="95" s="1"/>
  <c r="G75" i="95" s="1"/>
  <c r="G76" i="95" s="1"/>
  <c r="G77" i="95" s="1"/>
  <c r="G78" i="95" s="1"/>
  <c r="G79" i="95" s="1"/>
  <c r="G80" i="95" s="1"/>
  <c r="G81" i="95" s="1"/>
  <c r="G82" i="95" s="1"/>
  <c r="H69" i="95"/>
  <c r="G36" i="95"/>
  <c r="H36" i="95" s="1"/>
  <c r="H35" i="95"/>
  <c r="AA46" i="96" l="1"/>
  <c r="AK59" i="96"/>
  <c r="AK60" i="96" s="1"/>
  <c r="AJ61" i="96" s="1"/>
  <c r="G96" i="95"/>
  <c r="H82" i="95"/>
  <c r="G83" i="95"/>
  <c r="H70" i="95"/>
  <c r="H71" i="95"/>
  <c r="G37" i="95"/>
  <c r="AB46" i="96" l="1"/>
  <c r="AA47" i="96"/>
  <c r="H83" i="95"/>
  <c r="G84" i="95"/>
  <c r="H72" i="95"/>
  <c r="G38" i="95"/>
  <c r="H37" i="95"/>
  <c r="I5" i="97"/>
  <c r="J5" i="97" s="1"/>
  <c r="K5" i="97" s="1"/>
  <c r="L5" i="97" s="1"/>
  <c r="M5" i="97" s="1"/>
  <c r="N5" i="97" s="1"/>
  <c r="O5" i="97" s="1"/>
  <c r="P5" i="97" s="1"/>
  <c r="Q5" i="97" s="1"/>
  <c r="R5" i="97" s="1"/>
  <c r="S5" i="97" s="1"/>
  <c r="T5" i="97" s="1"/>
  <c r="H11" i="97"/>
  <c r="I11" i="97"/>
  <c r="J11" i="97"/>
  <c r="K11" i="97"/>
  <c r="L11" i="97"/>
  <c r="M11" i="97"/>
  <c r="N11" i="97"/>
  <c r="O11" i="97"/>
  <c r="P11" i="97"/>
  <c r="Q11" i="97"/>
  <c r="R11" i="97"/>
  <c r="S11" i="97"/>
  <c r="T11" i="97"/>
  <c r="H14" i="97"/>
  <c r="H16" i="97" s="1"/>
  <c r="I16" i="97" s="1"/>
  <c r="I21" i="97"/>
  <c r="J21" i="97" s="1"/>
  <c r="K21" i="97" s="1"/>
  <c r="L21" i="97" s="1"/>
  <c r="M21" i="97" s="1"/>
  <c r="N21" i="97" s="1"/>
  <c r="O21" i="97" s="1"/>
  <c r="P21" i="97" s="1"/>
  <c r="Q21" i="97" s="1"/>
  <c r="R21" i="97" s="1"/>
  <c r="S21" i="97" s="1"/>
  <c r="T21" i="97" s="1"/>
  <c r="H28" i="97"/>
  <c r="I28" i="97"/>
  <c r="J28" i="97"/>
  <c r="K28" i="97"/>
  <c r="L28" i="97"/>
  <c r="M28" i="97"/>
  <c r="N28" i="97"/>
  <c r="O28" i="97"/>
  <c r="P28" i="97"/>
  <c r="Q28" i="97"/>
  <c r="R28" i="97"/>
  <c r="S28" i="97"/>
  <c r="T28" i="97"/>
  <c r="H31" i="97"/>
  <c r="H33" i="97" s="1"/>
  <c r="I38" i="97"/>
  <c r="J38" i="97" s="1"/>
  <c r="K38" i="97" s="1"/>
  <c r="L38" i="97" s="1"/>
  <c r="I49" i="97" l="1"/>
  <c r="H50" i="97" s="1"/>
  <c r="L73" i="97"/>
  <c r="K65" i="97"/>
  <c r="J57" i="97"/>
  <c r="I33" i="97"/>
  <c r="H18" i="97"/>
  <c r="H17" i="97"/>
  <c r="H30" i="97"/>
  <c r="H35" i="97"/>
  <c r="H34" i="97"/>
  <c r="H13" i="97"/>
  <c r="I13" i="97"/>
  <c r="I30" i="97"/>
  <c r="AB47" i="96"/>
  <c r="AA48" i="96"/>
  <c r="H84" i="95"/>
  <c r="G85" i="95"/>
  <c r="H73" i="95"/>
  <c r="G39" i="95"/>
  <c r="H38" i="95"/>
  <c r="O8" i="95"/>
  <c r="O9" i="95"/>
  <c r="O10" i="95"/>
  <c r="O11" i="95"/>
  <c r="O12" i="95"/>
  <c r="O7" i="95"/>
  <c r="E35" i="96"/>
  <c r="F29" i="96"/>
  <c r="F30" i="96" s="1"/>
  <c r="F31" i="96" s="1"/>
  <c r="F32" i="96" s="1"/>
  <c r="F33" i="96" s="1"/>
  <c r="F34" i="96" s="1"/>
  <c r="E34" i="96"/>
  <c r="E29" i="96"/>
  <c r="E30" i="96"/>
  <c r="E33" i="96"/>
  <c r="E31" i="96"/>
  <c r="E32" i="96"/>
  <c r="F17" i="96"/>
  <c r="F18" i="96" s="1"/>
  <c r="F19" i="96" s="1"/>
  <c r="F20" i="96" s="1"/>
  <c r="F21" i="96" s="1"/>
  <c r="F22" i="96" s="1"/>
  <c r="E22" i="96"/>
  <c r="E19" i="96"/>
  <c r="E21" i="96"/>
  <c r="E18" i="96"/>
  <c r="E17" i="96"/>
  <c r="E20" i="96"/>
  <c r="D11" i="96"/>
  <c r="M13" i="96" s="1"/>
  <c r="C11" i="96"/>
  <c r="K13" i="96" s="1"/>
  <c r="K4" i="96"/>
  <c r="M4" i="96"/>
  <c r="K6" i="96"/>
  <c r="M6" i="96"/>
  <c r="K7" i="96"/>
  <c r="M7" i="96"/>
  <c r="K8" i="96"/>
  <c r="M8" i="96"/>
  <c r="K9" i="96"/>
  <c r="M9" i="96"/>
  <c r="K10" i="96"/>
  <c r="M10" i="96"/>
  <c r="K11" i="96"/>
  <c r="M11" i="96"/>
  <c r="I6" i="96"/>
  <c r="I7" i="96"/>
  <c r="I8" i="96"/>
  <c r="I9" i="96"/>
  <c r="I10" i="96"/>
  <c r="I11" i="96"/>
  <c r="I4" i="96"/>
  <c r="G23" i="95"/>
  <c r="G24" i="95" s="1"/>
  <c r="G25" i="95" s="1"/>
  <c r="L18" i="95"/>
  <c r="G19" i="95"/>
  <c r="G28" i="95" s="1"/>
  <c r="M18" i="95"/>
  <c r="I16" i="95"/>
  <c r="J16" i="95"/>
  <c r="H16" i="95"/>
  <c r="L8" i="95"/>
  <c r="L9" i="95"/>
  <c r="L10" i="95"/>
  <c r="L11" i="95"/>
  <c r="L12" i="95"/>
  <c r="L7" i="95"/>
  <c r="M8" i="95"/>
  <c r="M9" i="95"/>
  <c r="M10" i="95"/>
  <c r="M11" i="95"/>
  <c r="M12" i="95"/>
  <c r="M7" i="95"/>
  <c r="H5" i="95"/>
  <c r="I5" i="95" s="1"/>
  <c r="J5" i="95" s="1"/>
  <c r="H66" i="97" l="1"/>
  <c r="H67" i="97" s="1"/>
  <c r="H74" i="97"/>
  <c r="H75" i="97" s="1"/>
  <c r="H58" i="97"/>
  <c r="H59" i="97" s="1"/>
  <c r="AA58" i="96"/>
  <c r="AB48" i="96"/>
  <c r="AA49" i="96"/>
  <c r="AA50" i="96" s="1"/>
  <c r="AA51" i="96" s="1"/>
  <c r="G86" i="95"/>
  <c r="H85" i="95"/>
  <c r="H74" i="95"/>
  <c r="G40" i="95"/>
  <c r="H39" i="95"/>
  <c r="J19" i="95"/>
  <c r="J28" i="95"/>
  <c r="H19" i="95"/>
  <c r="H28" i="95"/>
  <c r="I19" i="95"/>
  <c r="I28" i="95"/>
  <c r="L19" i="95"/>
  <c r="G26" i="95"/>
  <c r="M19" i="95"/>
  <c r="AB49" i="96" l="1"/>
  <c r="AB50" i="96" s="1"/>
  <c r="AB51" i="96" s="1"/>
  <c r="Z54" i="96" s="1"/>
  <c r="Z55" i="96" s="1"/>
  <c r="AB58" i="96"/>
  <c r="AA59" i="96"/>
  <c r="AA60" i="96"/>
  <c r="G87" i="95"/>
  <c r="H86" i="95"/>
  <c r="H75" i="95"/>
  <c r="H40" i="95"/>
  <c r="G41" i="95"/>
  <c r="M28" i="95"/>
  <c r="L28" i="95"/>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AB59" i="96" l="1"/>
  <c r="AB60" i="96" s="1"/>
  <c r="Z61" i="96" s="1"/>
  <c r="Z63" i="96" s="1"/>
  <c r="H87" i="95"/>
  <c r="G88" i="95"/>
  <c r="H76" i="95"/>
  <c r="H41" i="95"/>
  <c r="G42" i="95"/>
  <c r="D12" i="81"/>
  <c r="E12" i="81" s="1"/>
  <c r="C12" i="81"/>
  <c r="C32" i="81"/>
  <c r="H88" i="95" l="1"/>
  <c r="G89" i="95"/>
  <c r="H89" i="95" s="1"/>
  <c r="H77" i="95"/>
  <c r="H42" i="95"/>
  <c r="G43" i="95"/>
  <c r="H78" i="95" l="1"/>
  <c r="G44" i="95"/>
  <c r="H43" i="95"/>
  <c r="H79" i="95" l="1"/>
  <c r="G45" i="95"/>
  <c r="H44" i="95"/>
  <c r="H80" i="95" l="1"/>
  <c r="G46" i="95"/>
  <c r="H45" i="95"/>
  <c r="H81" i="95" l="1"/>
  <c r="G47" i="95"/>
  <c r="H46" i="95"/>
  <c r="G48" i="95" l="1"/>
  <c r="H47" i="95"/>
  <c r="G49" i="95" l="1"/>
  <c r="H48" i="95"/>
  <c r="G50" i="95" l="1"/>
  <c r="H49" i="95"/>
  <c r="H50" i="95" l="1"/>
  <c r="G51" i="95"/>
  <c r="H51" i="95" l="1"/>
  <c r="G52" i="95"/>
  <c r="G53" i="95" l="1"/>
  <c r="H52" i="95"/>
  <c r="G54" i="95" l="1"/>
  <c r="H53" i="95"/>
  <c r="G55" i="95" l="1"/>
  <c r="H54" i="95"/>
  <c r="G56" i="95" l="1"/>
  <c r="H55" i="95"/>
  <c r="H56" i="95" l="1"/>
  <c r="G57" i="95"/>
  <c r="H57" i="95" l="1"/>
  <c r="G58" i="95"/>
  <c r="H58" i="95" l="1"/>
  <c r="G59" i="95"/>
  <c r="G60" i="95" l="1"/>
  <c r="H59" i="95"/>
  <c r="G61" i="95" l="1"/>
  <c r="H60" i="95"/>
  <c r="G62" i="95" l="1"/>
  <c r="H61" i="95"/>
  <c r="H62" i="95" l="1"/>
  <c r="G63" i="95"/>
  <c r="G64" i="95" l="1"/>
  <c r="H63" i="95"/>
  <c r="G65" i="95" l="1"/>
  <c r="H64" i="95"/>
  <c r="H65" i="95" l="1"/>
  <c r="H51" i="97"/>
</calcChain>
</file>

<file path=xl/sharedStrings.xml><?xml version="1.0" encoding="utf-8"?>
<sst xmlns="http://schemas.openxmlformats.org/spreadsheetml/2006/main" count="396" uniqueCount="147">
  <si>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</si>
  <si>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</si>
  <si>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</si>
  <si>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</si>
  <si>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</si>
  <si>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</si>
  <si>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</si>
  <si>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</si>
  <si>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</si>
  <si>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</si>
  <si>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</si>
  <si>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</si>
  <si>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</si>
  <si>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</si>
  <si>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</si>
  <si>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</si>
  <si>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</si>
  <si>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</si>
  <si>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</si>
  <si>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</si>
  <si>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</si>
  <si>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</si>
  <si>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</si>
  <si>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</si>
  <si>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</si>
  <si>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</si>
  <si>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</si>
  <si>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</si>
  <si>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</si>
  <si>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</si>
  <si>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</si>
  <si>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</si>
  <si>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</si>
  <si>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</si>
  <si>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</si>
  <si>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</si>
  <si>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</si>
  <si>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</si>
  <si>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</si>
  <si>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</si>
  <si>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</si>
  <si>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</si>
  <si>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</si>
  <si>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</si>
  <si>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</si>
  <si>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</si>
  <si>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</si>
  <si>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</si>
  <si>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</si>
  <si>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</si>
  <si>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</si>
  <si>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</si>
  <si>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</si>
  <si>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</si>
  <si>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Cash flows</t>
  </si>
  <si>
    <t>NPV</t>
  </si>
  <si>
    <t>IRR</t>
  </si>
  <si>
    <t>Sales</t>
  </si>
  <si>
    <t>EBIT</t>
  </si>
  <si>
    <t>NOPAT</t>
  </si>
  <si>
    <t>Cost of capital</t>
  </si>
  <si>
    <t>Cisco 1</t>
  </si>
  <si>
    <t>Cisco 2</t>
  </si>
  <si>
    <t>Juniper 1</t>
  </si>
  <si>
    <t>Juniper 2</t>
  </si>
  <si>
    <t>Huawei 1</t>
  </si>
  <si>
    <t>Huawei 2</t>
  </si>
  <si>
    <t>Cisco 2 decomposition</t>
  </si>
  <si>
    <t>Savings</t>
  </si>
  <si>
    <t>Costs</t>
  </si>
  <si>
    <t>Loan</t>
  </si>
  <si>
    <t>PV loan payments</t>
  </si>
  <si>
    <t>Loan interest rate</t>
  </si>
  <si>
    <t>Loan payments</t>
  </si>
  <si>
    <t>NPV loan</t>
  </si>
  <si>
    <t>Net cash flow</t>
  </si>
  <si>
    <t>Breakeven cash flow/interest rate</t>
  </si>
  <si>
    <t>Bids</t>
  </si>
  <si>
    <t>\hline</t>
  </si>
  <si>
    <t>&amp;</t>
  </si>
  <si>
    <t>\\</t>
  </si>
  <si>
    <t>NaN</t>
  </si>
  <si>
    <t>\cline{2-5}</t>
  </si>
  <si>
    <t>\multicolumn{4}{c}{Period}</t>
  </si>
  <si>
    <t>Product</t>
  </si>
  <si>
    <t>Initial Cost</t>
  </si>
  <si>
    <t>Profitability Index</t>
  </si>
  <si>
    <t xml:space="preserve">Thermo </t>
  </si>
  <si>
    <t>Thermo Rx</t>
  </si>
  <si>
    <t>SensorView</t>
  </si>
  <si>
    <t>Thermo Chem</t>
  </si>
  <si>
    <t>PressureView</t>
  </si>
  <si>
    <t>PressureView+</t>
  </si>
  <si>
    <t>Total</t>
  </si>
  <si>
    <t>Cum. Cost</t>
  </si>
  <si>
    <t>($000s)</t>
  </si>
  <si>
    <t xml:space="preserve">&amp; </t>
  </si>
  <si>
    <t>Cumulative Cost</t>
  </si>
  <si>
    <t>Headcount</t>
  </si>
  <si>
    <t>Cum. Headcount</t>
  </si>
  <si>
    <t>Cumulative Headcount</t>
  </si>
  <si>
    <t>ExoScale</t>
  </si>
  <si>
    <t>MIRR</t>
  </si>
  <si>
    <t>Replace as soon as annual cash flow falls below annuity equivalent cash flow. (Year 3)</t>
  </si>
  <si>
    <t>Free cash flows</t>
  </si>
  <si>
    <t>Old machine</t>
  </si>
  <si>
    <t>Perpetutity</t>
  </si>
  <si>
    <t>Annuity equiv cash flow</t>
  </si>
  <si>
    <t>Cycle life</t>
  </si>
  <si>
    <t>NPV (1-cycle)</t>
  </si>
  <si>
    <t>NPV (12-year)</t>
  </si>
  <si>
    <t>Cycle 4</t>
  </si>
  <si>
    <t>Cycle 3</t>
  </si>
  <si>
    <t>Cycle 2</t>
  </si>
  <si>
    <t>Cycle 1</t>
  </si>
  <si>
    <t>Machine B</t>
  </si>
  <si>
    <t>Machine A</t>
  </si>
  <si>
    <t>Juniper 2 analysis</t>
  </si>
  <si>
    <t>R</t>
  </si>
  <si>
    <t>Cisco #1 analysis</t>
  </si>
  <si>
    <t>Huawei #1 analysis</t>
  </si>
  <si>
    <t>Loan rate</t>
  </si>
  <si>
    <t>Emp 1</t>
  </si>
  <si>
    <t>Emp 2</t>
  </si>
  <si>
    <t>Emp 3</t>
  </si>
  <si>
    <t>Emp 4</t>
  </si>
  <si>
    <t>Emp 5</t>
  </si>
  <si>
    <t>PI(per emp)</t>
  </si>
  <si>
    <t>Tax</t>
  </si>
  <si>
    <t>Employee costs</t>
  </si>
  <si>
    <t>PV(Employee costs)</t>
  </si>
  <si>
    <t>Employee benefits</t>
  </si>
  <si>
    <t>Wages</t>
  </si>
  <si>
    <t>Tax shield</t>
  </si>
  <si>
    <t>After-tax wage</t>
  </si>
  <si>
    <t>After-tax sale</t>
  </si>
  <si>
    <t>NPV of employee</t>
  </si>
  <si>
    <t>P&amp;L</t>
  </si>
  <si>
    <t>12-year annuity</t>
  </si>
  <si>
    <t>Replace now</t>
  </si>
  <si>
    <t>Replace 1-year</t>
  </si>
  <si>
    <t>Existing FCF</t>
  </si>
  <si>
    <t>Replace 2-year</t>
  </si>
  <si>
    <t>Replace 3-year</t>
  </si>
  <si>
    <t>Annuity equivalent</t>
  </si>
  <si>
    <t>PV</t>
  </si>
  <si>
    <t>PV perpetuity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</si>
</sst>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quot;$&quot;#,##0.00;\(&quot;$&quot;#,##0.00\);&quot;$&quot;#,##0.00"/>
    <numFmt numFmtId="184" formatCode="#,##0.00%;\(#,##0.00%\);#,##0.00%"/>
    <numFmt numFmtId="185" formatCode="&quot;$&quot;#,##0.0000;\(&quot;$&quot;#,##0.0000\);&quot;$&quot;#,##0.0000"/>
    <numFmt numFmtId="186" formatCode="0.0000%"/>
  </numFmts>
  <fonts count="47" x14ac:knownFonts="1">
    <font>
      <sz val="10"/>
      <name val="Arial"/>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sz val="11"/>
      <color theme="1"/>
      <name val="Calibri"/>
      <family val="2"/>
      <scheme val="minor"/>
    </font>
    <font>
      <sz val="10"/>
      <color theme="1"/>
      <name val="Arial"/>
      <family val="2"/>
    </font>
    <font>
      <u/>
      <sz val="10"/>
      <color theme="10"/>
      <name val="Arial"/>
      <family val="2"/>
    </font>
    <font>
      <b/>
      <sz val="10"/>
      <color theme="1"/>
      <name val="Arial"/>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s>
  <borders count="20">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s>
  <cellStyleXfs count="12126">
    <xf numFmtId="0" fontId="0" fillId="0" borderId="0"/>
    <xf numFmtId="0" fontId="26" fillId="2" borderId="1" applyNumberFormat="0" applyAlignment="0" applyProtection="0"/>
    <xf numFmtId="0" fontId="23" fillId="3" borderId="1" applyNumberFormat="0" applyAlignment="0" applyProtection="0"/>
    <xf numFmtId="0" fontId="27" fillId="0" borderId="14"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9" fillId="12" borderId="0" applyNumberFormat="0" applyBorder="0" applyAlignment="0" applyProtection="0"/>
    <xf numFmtId="0" fontId="21" fillId="21" borderId="12"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5"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17"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2" fillId="6" borderId="0" applyFill="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3" fillId="6" borderId="0" applyFill="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33"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7" fontId="32"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6" fontId="6" fillId="6" borderId="0" applyFill="0">
      <alignment horizontal="right"/>
    </xf>
    <xf numFmtId="0" fontId="22" fillId="0" borderId="13" applyNumberFormat="0" applyFill="0" applyAlignment="0" applyProtection="0"/>
    <xf numFmtId="0" fontId="28" fillId="7" borderId="0" applyNumberFormat="0" applyBorder="0" applyAlignment="0" applyProtection="0"/>
    <xf numFmtId="0" fontId="29" fillId="3" borderId="4" applyNumberFormat="0" applyAlignment="0" applyProtection="0"/>
    <xf numFmtId="0" fontId="25" fillId="0" borderId="0" applyNumberFormat="0" applyFill="0" applyBorder="0" applyAlignment="0" applyProtection="0"/>
    <xf numFmtId="0" fontId="30" fillId="0" borderId="5" applyNumberFormat="0" applyFill="0" applyAlignment="0" applyProtection="0"/>
    <xf numFmtId="0" fontId="9" fillId="8" borderId="0" applyNumberFormat="0" applyBorder="0" applyAlignment="0" applyProtection="0"/>
    <xf numFmtId="0" fontId="9" fillId="14" borderId="0" applyNumberFormat="0" applyBorder="0" applyAlignment="0" applyProtection="0"/>
    <xf numFmtId="0" fontId="12" fillId="18" borderId="7" applyNumberFormat="0" applyAlignment="0" applyProtection="0"/>
    <xf numFmtId="0" fontId="18" fillId="0" borderId="0" applyAlignment="0">
      <protection locked="0"/>
    </xf>
    <xf numFmtId="0" fontId="9" fillId="9" borderId="0" applyNumberFormat="0" applyBorder="0" applyAlignment="0" applyProtection="0"/>
    <xf numFmtId="0" fontId="9" fillId="9" borderId="0" applyNumberFormat="0" applyBorder="0" applyAlignment="0" applyProtection="0"/>
    <xf numFmtId="0" fontId="13" fillId="0" borderId="0" applyNumberFormat="0" applyFill="0" applyBorder="0" applyAlignment="0" applyProtection="0"/>
    <xf numFmtId="0" fontId="19" fillId="0" borderId="11" applyNumberFormat="0" applyFill="0" applyAlignment="0" applyProtection="0"/>
    <xf numFmtId="0" fontId="9" fillId="10" borderId="0" applyNumberFormat="0" applyBorder="0" applyAlignment="0" applyProtection="0"/>
    <xf numFmtId="0" fontId="9" fillId="10" borderId="0" applyNumberFormat="0" applyBorder="0" applyAlignment="0" applyProtection="0"/>
    <xf numFmtId="0" fontId="14" fillId="19" borderId="0" applyNumberFormat="0" applyBorder="0" applyAlignment="0" applyProtection="0"/>
    <xf numFmtId="0" fontId="20" fillId="2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0" borderId="8" applyNumberFormat="0" applyFill="0" applyAlignment="0" applyProtection="0"/>
    <xf numFmtId="0" fontId="2" fillId="0" borderId="0"/>
    <xf numFmtId="0" fontId="10" fillId="16" borderId="0" applyNumberFormat="0" applyBorder="0" applyAlignment="0" applyProtection="0"/>
    <xf numFmtId="0" fontId="16" fillId="0" borderId="9" applyNumberFormat="0" applyFill="0" applyAlignment="0" applyProtection="0"/>
    <xf numFmtId="0" fontId="9" fillId="13" borderId="0" applyNumberFormat="0" applyBorder="0" applyAlignment="0" applyProtection="0"/>
    <xf numFmtId="0" fontId="17" fillId="0" borderId="10" applyNumberFormat="0" applyFill="0" applyAlignment="0" applyProtection="0"/>
    <xf numFmtId="0" fontId="35"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165" fontId="2" fillId="22" borderId="0" applyNumberFormat="0" applyFont="0" applyAlignment="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33"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1"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34"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32"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33" fillId="6" borderId="0" applyFill="0">
      <alignment horizontal="right"/>
    </xf>
    <xf numFmtId="170" fontId="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 fontId="32" fillId="0" borderId="0">
      <alignment horizont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3"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2" fillId="23" borderId="1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2" fillId="0" borderId="0"/>
    <xf numFmtId="175" fontId="32" fillId="0" borderId="0"/>
    <xf numFmtId="176" fontId="32" fillId="0" borderId="0"/>
    <xf numFmtId="177" fontId="32" fillId="0" borderId="0"/>
    <xf numFmtId="178" fontId="32" fillId="0" borderId="0"/>
    <xf numFmtId="179" fontId="32" fillId="0" borderId="0"/>
    <xf numFmtId="180" fontId="32" fillId="0" borderId="0"/>
    <xf numFmtId="181" fontId="32" fillId="0" borderId="0">
      <alignment horizontal="center"/>
    </xf>
    <xf numFmtId="182" fontId="32" fillId="0" borderId="0">
      <alignment horizontal="center"/>
    </xf>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7" fontId="4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3" fillId="0" borderId="0"/>
    <xf numFmtId="0" fontId="45" fillId="0" borderId="0" applyNumberFormat="0" applyFill="0" applyBorder="0" applyAlignment="0" applyProtection="0"/>
    <xf numFmtId="0" fontId="2" fillId="0" borderId="0"/>
  </cellStyleXfs>
  <cellXfs count="59">
    <xf numFmtId="0" fontId="0" fillId="0" borderId="0" xfId="0"/>
    <xf numFmtId="0" fontId="36" fillId="0" borderId="0" xfId="0" applyFont="1"/>
    <xf numFmtId="0" fontId="0" fillId="0" borderId="0" xfId="0" quotePrefix="1"/>
    <xf numFmtId="0" fontId="0" fillId="0" borderId="2" xfId="0" applyBorder="1"/>
    <xf numFmtId="174" fontId="33" fillId="0" borderId="0" xfId="11899"/>
    <xf numFmtId="175" fontId="33" fillId="0" borderId="0" xfId="11900"/>
    <xf numFmtId="176" fontId="33" fillId="0" borderId="0" xfId="11901"/>
    <xf numFmtId="177" fontId="33" fillId="0" borderId="0" xfId="11902"/>
    <xf numFmtId="178" fontId="33" fillId="0" borderId="0" xfId="11903"/>
    <xf numFmtId="179" fontId="33" fillId="0" borderId="0" xfId="11904"/>
    <xf numFmtId="180" fontId="33" fillId="0" borderId="0" xfId="11905"/>
    <xf numFmtId="181" fontId="33" fillId="0" borderId="0" xfId="11906">
      <alignment horizontal="center"/>
    </xf>
    <xf numFmtId="182" fontId="33" fillId="0" borderId="0" xfId="11907">
      <alignment horizontal="center"/>
    </xf>
    <xf numFmtId="174" fontId="32" fillId="0" borderId="0" xfId="11908"/>
    <xf numFmtId="175" fontId="32" fillId="0" borderId="0" xfId="11909"/>
    <xf numFmtId="176" fontId="32" fillId="0" borderId="0" xfId="11910"/>
    <xf numFmtId="177" fontId="32" fillId="0" borderId="0" xfId="11911"/>
    <xf numFmtId="178" fontId="32" fillId="0" borderId="0" xfId="11912"/>
    <xf numFmtId="179" fontId="32" fillId="0" borderId="0" xfId="11913"/>
    <xf numFmtId="180" fontId="32" fillId="0" borderId="0" xfId="11914"/>
    <xf numFmtId="181" fontId="32" fillId="0" borderId="0" xfId="11915">
      <alignment horizontal="center"/>
    </xf>
    <xf numFmtId="182" fontId="32" fillId="0" borderId="0" xfId="11916">
      <alignment horizontal="center"/>
    </xf>
    <xf numFmtId="174" fontId="34" fillId="0" borderId="0" xfId="11917"/>
    <xf numFmtId="175" fontId="34" fillId="0" borderId="0" xfId="11918"/>
    <xf numFmtId="176" fontId="34" fillId="0" borderId="0" xfId="11919"/>
    <xf numFmtId="177" fontId="34" fillId="0" borderId="0" xfId="11920"/>
    <xf numFmtId="178" fontId="34" fillId="0" borderId="0" xfId="11921"/>
    <xf numFmtId="179" fontId="34" fillId="0" borderId="0" xfId="11922"/>
    <xf numFmtId="180" fontId="34" fillId="0" borderId="0" xfId="11923"/>
    <xf numFmtId="181" fontId="34" fillId="0" borderId="0" xfId="11924">
      <alignment horizontal="center"/>
    </xf>
    <xf numFmtId="182" fontId="34" fillId="0" borderId="0" xfId="11925">
      <alignment horizontal="center"/>
    </xf>
    <xf numFmtId="177" fontId="41" fillId="0" borderId="0" xfId="11926"/>
    <xf numFmtId="0" fontId="42" fillId="0" borderId="0" xfId="0" applyFont="1"/>
    <xf numFmtId="183" fontId="32" fillId="0" borderId="0" xfId="11913" applyNumberFormat="1"/>
    <xf numFmtId="7" fontId="0" fillId="0" borderId="0" xfId="0" applyNumberFormat="1"/>
    <xf numFmtId="0" fontId="0" fillId="0" borderId="19" xfId="0" applyBorder="1"/>
    <xf numFmtId="184" fontId="32" fillId="0" borderId="0" xfId="11912" applyNumberFormat="1"/>
    <xf numFmtId="9" fontId="0" fillId="0" borderId="0" xfId="0" applyNumberFormat="1"/>
    <xf numFmtId="185" fontId="32" fillId="0" borderId="0" xfId="11913" applyNumberFormat="1"/>
    <xf numFmtId="176" fontId="32" fillId="0" borderId="2" xfId="11910" applyBorder="1"/>
    <xf numFmtId="0" fontId="36" fillId="0" borderId="2" xfId="0" applyFont="1" applyBorder="1"/>
    <xf numFmtId="176" fontId="0" fillId="0" borderId="0" xfId="0" applyNumberFormat="1"/>
    <xf numFmtId="186" fontId="0" fillId="0" borderId="0" xfId="0" applyNumberFormat="1"/>
    <xf numFmtId="0" fontId="45" fillId="0" borderId="0" xfId="12124"/>
    <xf numFmtId="177" fontId="32" fillId="0" borderId="0" xfId="11910" applyNumberFormat="1"/>
    <xf numFmtId="184" fontId="44" fillId="0" borderId="0" xfId="11912" applyNumberFormat="1" applyFont="1"/>
    <xf numFmtId="0" fontId="2" fillId="0" borderId="0" xfId="0" applyFont="1"/>
    <xf numFmtId="0" fontId="2" fillId="0" borderId="0" xfId="12125"/>
    <xf numFmtId="0" fontId="36" fillId="0" borderId="2" xfId="12125" applyFont="1" applyBorder="1"/>
    <xf numFmtId="0" fontId="36" fillId="0" borderId="0" xfId="12125" applyFont="1"/>
    <xf numFmtId="0" fontId="2" fillId="0" borderId="2" xfId="12125" applyBorder="1"/>
    <xf numFmtId="185" fontId="0" fillId="0" borderId="0" xfId="0" applyNumberFormat="1"/>
    <xf numFmtId="8" fontId="0" fillId="0" borderId="0" xfId="0" applyNumberFormat="1"/>
    <xf numFmtId="176" fontId="36" fillId="0" borderId="0" xfId="0" applyNumberFormat="1" applyFont="1"/>
    <xf numFmtId="0" fontId="42" fillId="0" borderId="2" xfId="0" applyFont="1" applyBorder="1"/>
    <xf numFmtId="176" fontId="33" fillId="0" borderId="2" xfId="11901" applyBorder="1"/>
    <xf numFmtId="176" fontId="46" fillId="0" borderId="0" xfId="11910" applyFont="1"/>
    <xf numFmtId="176" fontId="2" fillId="0" borderId="0" xfId="12125" applyNumberFormat="1"/>
    <xf numFmtId="0" fontId="0" fillId="0" borderId="0" xfId="0" applyAlignment="1">
      <alignment horizontal="center"/>
    </xf>
  </cellXfs>
  <cellStyles count="12126">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4"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3" xfId="12123" xr:uid="{A8C0B6E0-EDA8-A14F-91DC-14EC5059D525}"/>
    <cellStyle name="Normal 4" xfId="12125" xr:uid="{CF7D8809-5550-3949-9F3C-1895EBDE180E}"/>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'app-vanguard-it'!$H$34</c:f>
              <c:strCache>
                <c:ptCount val="1"/>
                <c:pt idx="0">
                  <c:v>NPV</c:v>
                </c:pt>
              </c:strCache>
            </c:strRef>
          </c:tx>
          <c:spPr>
            <a:ln w="19050" cap="rnd">
              <a:solidFill>
                <a:schemeClr val="accent1"/>
              </a:solidFill>
              <a:round/>
            </a:ln>
            <a:effectLst/>
          </c:spPr>
          <c:marker>
            <c:symbol val="none"/>
          </c:marker>
          <c:xVal>
            <c:numRef>
              <c:f>'app-vanguard-it'!$G$35:$G$65</c:f>
              <c:numCache>
                <c:formatCode>#,##0.00;\(#,##0.00\);#,##0.00</c:formatCode>
                <c:ptCount val="31"/>
                <c:pt idx="0">
                  <c:v>0.01</c:v>
                </c:pt>
                <c:pt idx="1">
                  <c:v>0.11</c:v>
                </c:pt>
                <c:pt idx="2">
                  <c:v>0.21000000000000002</c:v>
                </c:pt>
                <c:pt idx="3">
                  <c:v>0.31000000000000005</c:v>
                </c:pt>
                <c:pt idx="4">
                  <c:v>0.41000000000000003</c:v>
                </c:pt>
                <c:pt idx="5">
                  <c:v>0.51</c:v>
                </c:pt>
                <c:pt idx="6">
                  <c:v>0.61</c:v>
                </c:pt>
                <c:pt idx="7">
                  <c:v>0.71</c:v>
                </c:pt>
                <c:pt idx="8">
                  <c:v>0.80999999999999994</c:v>
                </c:pt>
                <c:pt idx="9">
                  <c:v>0.90999999999999992</c:v>
                </c:pt>
                <c:pt idx="10">
                  <c:v>1.01</c:v>
                </c:pt>
                <c:pt idx="11">
                  <c:v>1.1100000000000001</c:v>
                </c:pt>
                <c:pt idx="12">
                  <c:v>1.2100000000000002</c:v>
                </c:pt>
                <c:pt idx="13">
                  <c:v>1.3100000000000003</c:v>
                </c:pt>
                <c:pt idx="14">
                  <c:v>1.4100000000000004</c:v>
                </c:pt>
                <c:pt idx="15">
                  <c:v>1.5100000000000005</c:v>
                </c:pt>
                <c:pt idx="16">
                  <c:v>1.6100000000000005</c:v>
                </c:pt>
                <c:pt idx="17">
                  <c:v>1.7100000000000006</c:v>
                </c:pt>
                <c:pt idx="18">
                  <c:v>1.8100000000000007</c:v>
                </c:pt>
                <c:pt idx="19">
                  <c:v>1.9100000000000008</c:v>
                </c:pt>
                <c:pt idx="20">
                  <c:v>2.0100000000000007</c:v>
                </c:pt>
                <c:pt idx="21">
                  <c:v>2.1100000000000008</c:v>
                </c:pt>
                <c:pt idx="22">
                  <c:v>2.2100000000000009</c:v>
                </c:pt>
                <c:pt idx="23">
                  <c:v>2.3100000000000009</c:v>
                </c:pt>
                <c:pt idx="24">
                  <c:v>2.410000000000001</c:v>
                </c:pt>
                <c:pt idx="25">
                  <c:v>2.5100000000000011</c:v>
                </c:pt>
                <c:pt idx="26">
                  <c:v>2.6100000000000012</c:v>
                </c:pt>
                <c:pt idx="27">
                  <c:v>2.7100000000000013</c:v>
                </c:pt>
                <c:pt idx="28">
                  <c:v>2.8100000000000014</c:v>
                </c:pt>
                <c:pt idx="29">
                  <c:v>2.9100000000000015</c:v>
                </c:pt>
                <c:pt idx="30">
                  <c:v>3.0100000000000016</c:v>
                </c:pt>
              </c:numCache>
            </c:numRef>
          </c:xVal>
          <c:yVal>
            <c:numRef>
              <c:f>'app-vanguard-it'!$H$35:$H$65</c:f>
              <c:numCache>
                <c:formatCode>#,##0.00;\(#,##0.00\);#,##0.00</c:formatCode>
                <c:ptCount val="31"/>
                <c:pt idx="0">
                  <c:v>64.116263111459659</c:v>
                </c:pt>
                <c:pt idx="1">
                  <c:v>56.817628439250058</c:v>
                </c:pt>
                <c:pt idx="2">
                  <c:v>51.639232292876173</c:v>
                </c:pt>
                <c:pt idx="3">
                  <c:v>47.902220150340888</c:v>
                </c:pt>
                <c:pt idx="4">
                  <c:v>45.171269050852572</c:v>
                </c:pt>
                <c:pt idx="5">
                  <c:v>43.158194816016845</c:v>
                </c:pt>
                <c:pt idx="6">
                  <c:v>41.666988156321132</c:v>
                </c:pt>
                <c:pt idx="7">
                  <c:v>40.561198317431007</c:v>
                </c:pt>
                <c:pt idx="8">
                  <c:v>39.7439028112695</c:v>
                </c:pt>
                <c:pt idx="9">
                  <c:v>39.14503440146926</c:v>
                </c:pt>
                <c:pt idx="10">
                  <c:v>38.713150664587509</c:v>
                </c:pt>
                <c:pt idx="11">
                  <c:v>38.409963837290263</c:v>
                </c:pt>
                <c:pt idx="12">
                  <c:v>38.206629675887058</c:v>
                </c:pt>
                <c:pt idx="13">
                  <c:v>38.08118288637769</c:v>
                </c:pt>
                <c:pt idx="14">
                  <c:v>38.016735249048743</c:v>
                </c:pt>
                <c:pt idx="15">
                  <c:v>38.000190473167095</c:v>
                </c:pt>
                <c:pt idx="16">
                  <c:v>38.021315012991586</c:v>
                </c:pt>
                <c:pt idx="17">
                  <c:v>38.072057842349636</c:v>
                </c:pt>
                <c:pt idx="18">
                  <c:v>38.146046782588876</c:v>
                </c:pt>
                <c:pt idx="19">
                  <c:v>38.238211641336314</c:v>
                </c:pt>
                <c:pt idx="20">
                  <c:v>38.34449950883544</c:v>
                </c:pt>
                <c:pt idx="21">
                  <c:v>38.461657757880914</c:v>
                </c:pt>
                <c:pt idx="22">
                  <c:v>38.587067283896701</c:v>
                </c:pt>
                <c:pt idx="23">
                  <c:v>38.718613375197378</c:v>
                </c:pt>
                <c:pt idx="24">
                  <c:v>38.854585013888766</c:v>
                </c:pt>
                <c:pt idx="25">
                  <c:v>38.993595831202668</c:v>
                </c:pt>
                <c:pt idx="26">
                  <c:v>39.134521681079796</c:v>
                </c:pt>
                <c:pt idx="27">
                  <c:v>39.276451057461074</c:v>
                </c:pt>
                <c:pt idx="28">
                  <c:v>39.418645503957677</c:v>
                </c:pt>
                <c:pt idx="29">
                  <c:v>39.560507845971706</c:v>
                </c:pt>
                <c:pt idx="30">
                  <c:v>39.701556582359565</c:v>
                </c:pt>
              </c:numCache>
            </c:numRef>
          </c:yVal>
          <c:smooth val="1"/>
          <c:extLst>
            <c:ext xmlns:c16="http://schemas.microsoft.com/office/drawing/2014/chart" uri="{C3380CC4-5D6E-409C-BE32-E72D297353CC}">
              <c16:uniqueId val="{00000000-0684-234E-8356-6609D9E2E5A5}"/>
            </c:ext>
          </c:extLst>
        </c:ser>
        <c:dLbls>
          <c:showLegendKey val="0"/>
          <c:showVal val="0"/>
          <c:showCatName val="0"/>
          <c:showSerName val="0"/>
          <c:showPercent val="0"/>
          <c:showBubbleSize val="0"/>
        </c:dLbls>
        <c:axId val="1069831471"/>
        <c:axId val="1069832703"/>
      </c:scatterChart>
      <c:valAx>
        <c:axId val="1069831471"/>
        <c:scaling>
          <c:orientation val="minMax"/>
          <c:max val="3"/>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32703"/>
        <c:crosses val="autoZero"/>
        <c:crossBetween val="midCat"/>
      </c:valAx>
      <c:valAx>
        <c:axId val="1069832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Present Value ($mil)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314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'app-vanguard-it'!$H$34</c:f>
              <c:strCache>
                <c:ptCount val="1"/>
                <c:pt idx="0">
                  <c:v>NPV</c:v>
                </c:pt>
              </c:strCache>
            </c:strRef>
          </c:tx>
          <c:spPr>
            <a:ln w="19050" cap="rnd">
              <a:solidFill>
                <a:schemeClr val="accent1"/>
              </a:solidFill>
              <a:round/>
            </a:ln>
            <a:effectLst/>
          </c:spPr>
          <c:marker>
            <c:symbol val="none"/>
          </c:marker>
          <c:xVal>
            <c:numRef>
              <c:f>'app-vanguard-it'!$G$69:$G$89</c:f>
              <c:numCache>
                <c:formatCode>#,##0.00;\(#,##0.00\);#,##0.00</c:formatCode>
                <c:ptCount val="21"/>
                <c:pt idx="0">
                  <c:v>0.01</c:v>
                </c:pt>
                <c:pt idx="1">
                  <c:v>6.0000000000000005E-2</c:v>
                </c:pt>
                <c:pt idx="2">
                  <c:v>0.11000000000000001</c:v>
                </c:pt>
                <c:pt idx="3">
                  <c:v>0.16000000000000003</c:v>
                </c:pt>
                <c:pt idx="4">
                  <c:v>0.21000000000000002</c:v>
                </c:pt>
                <c:pt idx="5">
                  <c:v>0.26</c:v>
                </c:pt>
                <c:pt idx="6">
                  <c:v>0.31</c:v>
                </c:pt>
                <c:pt idx="7">
                  <c:v>0.36</c:v>
                </c:pt>
                <c:pt idx="8">
                  <c:v>0.41</c:v>
                </c:pt>
                <c:pt idx="9">
                  <c:v>0.45999999999999996</c:v>
                </c:pt>
                <c:pt idx="10">
                  <c:v>0.51</c:v>
                </c:pt>
                <c:pt idx="11">
                  <c:v>0.56000000000000005</c:v>
                </c:pt>
                <c:pt idx="12">
                  <c:v>0.6100000000000001</c:v>
                </c:pt>
                <c:pt idx="13">
                  <c:v>0.66000000000000014</c:v>
                </c:pt>
                <c:pt idx="14">
                  <c:v>0.71000000000000019</c:v>
                </c:pt>
                <c:pt idx="15">
                  <c:v>0.76000000000000023</c:v>
                </c:pt>
                <c:pt idx="16">
                  <c:v>0.81000000000000028</c:v>
                </c:pt>
                <c:pt idx="17">
                  <c:v>0.86000000000000032</c:v>
                </c:pt>
                <c:pt idx="18">
                  <c:v>0.91000000000000036</c:v>
                </c:pt>
                <c:pt idx="19">
                  <c:v>0.96000000000000041</c:v>
                </c:pt>
                <c:pt idx="20">
                  <c:v>1.0100000000000005</c:v>
                </c:pt>
              </c:numCache>
            </c:numRef>
          </c:xVal>
          <c:yVal>
            <c:numRef>
              <c:f>'app-vanguard-it'!$H$69:$H$89</c:f>
              <c:numCache>
                <c:formatCode>#,##0.00;\(#,##0.00\);#,##0.00</c:formatCode>
                <c:ptCount val="21"/>
                <c:pt idx="0">
                  <c:v>76.459112434133317</c:v>
                </c:pt>
                <c:pt idx="1">
                  <c:v>60.380716967698163</c:v>
                </c:pt>
                <c:pt idx="2">
                  <c:v>46.622882926754357</c:v>
                </c:pt>
                <c:pt idx="3">
                  <c:v>34.753372421993504</c:v>
                </c:pt>
                <c:pt idx="4">
                  <c:v>24.436019984635038</c:v>
                </c:pt>
                <c:pt idx="5">
                  <c:v>15.406303614920375</c:v>
                </c:pt>
                <c:pt idx="6">
                  <c:v>7.4538352762410369</c:v>
                </c:pt>
                <c:pt idx="7">
                  <c:v>0.4096275188276195</c:v>
                </c:pt>
                <c:pt idx="8">
                  <c:v>-5.8632908357921139</c:v>
                </c:pt>
                <c:pt idx="9">
                  <c:v>-11.476876331882664</c:v>
                </c:pt>
                <c:pt idx="10">
                  <c:v>-16.523354529297691</c:v>
                </c:pt>
                <c:pt idx="11">
                  <c:v>-21.079249481616358</c:v>
                </c:pt>
                <c:pt idx="12">
                  <c:v>-25.208487039334287</c:v>
                </c:pt>
                <c:pt idx="13">
                  <c:v>-28.96480682491908</c:v>
                </c:pt>
                <c:pt idx="14">
                  <c:v>-32.393652987843922</c:v>
                </c:pt>
                <c:pt idx="15">
                  <c:v>-35.533668294515422</c:v>
                </c:pt>
                <c:pt idx="16">
                  <c:v>-38.41788368159758</c:v>
                </c:pt>
                <c:pt idx="17">
                  <c:v>-41.074672067253736</c:v>
                </c:pt>
                <c:pt idx="18">
                  <c:v>-43.528518251844808</c:v>
                </c:pt>
                <c:pt idx="19">
                  <c:v>-45.800644289369245</c:v>
                </c:pt>
                <c:pt idx="20">
                  <c:v>-47.909520489924354</c:v>
                </c:pt>
              </c:numCache>
            </c:numRef>
          </c:yVal>
          <c:smooth val="1"/>
          <c:extLst>
            <c:ext xmlns:c16="http://schemas.microsoft.com/office/drawing/2014/chart" uri="{C3380CC4-5D6E-409C-BE32-E72D297353CC}">
              <c16:uniqueId val="{00000000-670D-3245-B449-8399A212A887}"/>
            </c:ext>
          </c:extLst>
        </c:ser>
        <c:dLbls>
          <c:showLegendKey val="0"/>
          <c:showVal val="0"/>
          <c:showCatName val="0"/>
          <c:showSerName val="0"/>
          <c:showPercent val="0"/>
          <c:showBubbleSize val="0"/>
        </c:dLbls>
        <c:axId val="1069831471"/>
        <c:axId val="1069832703"/>
      </c:scatterChart>
      <c:valAx>
        <c:axId val="1069831471"/>
        <c:scaling>
          <c:orientation val="minMax"/>
          <c:max val="0.60000000000000009"/>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32703"/>
        <c:crosses val="autoZero"/>
        <c:crossBetween val="midCat"/>
      </c:valAx>
      <c:valAx>
        <c:axId val="10698327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Present Value ($mil)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83147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FC4EB061-4B97-59C2-DDE9-388046DBD885}"/>
            </a:ext>
          </a:extLst>
        </xdr:cNvPr>
        <xdr:cNvSpPr txBox="1"/>
      </xdr:nvSpPr>
      <xdr:spPr>
        <a:xfrm>
          <a:off x="222252" y="166687"/>
          <a:ext cx="5762624" cy="2159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656167</xdr:colOff>
      <xdr:row>34</xdr:row>
      <xdr:rowOff>0</xdr:rowOff>
    </xdr:from>
    <xdr:to>
      <xdr:col>16</xdr:col>
      <xdr:colOff>630767</xdr:colOff>
      <xdr:row>50</xdr:row>
      <xdr:rowOff>33866</xdr:rowOff>
    </xdr:to>
    <xdr:graphicFrame macro="">
      <xdr:nvGraphicFramePr>
        <xdr:cNvPr id="2" name="Chart 1">
          <a:extLst>
            <a:ext uri="{FF2B5EF4-FFF2-40B4-BE49-F238E27FC236}">
              <a16:creationId xmlns:a16="http://schemas.microsoft.com/office/drawing/2014/main" id="{3C0FC835-F012-538B-7A59-4D34C90A3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68</xdr:row>
      <xdr:rowOff>0</xdr:rowOff>
    </xdr:from>
    <xdr:to>
      <xdr:col>16</xdr:col>
      <xdr:colOff>635000</xdr:colOff>
      <xdr:row>84</xdr:row>
      <xdr:rowOff>33867</xdr:rowOff>
    </xdr:to>
    <xdr:graphicFrame macro="">
      <xdr:nvGraphicFramePr>
        <xdr:cNvPr id="3" name="Chart 2">
          <a:extLst>
            <a:ext uri="{FF2B5EF4-FFF2-40B4-BE49-F238E27FC236}">
              <a16:creationId xmlns:a16="http://schemas.microsoft.com/office/drawing/2014/main" id="{D12C0EB0-1B00-AF44-83A6-DC205C72C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0.64259</cdr:x>
      <cdr:y>0.19136</cdr:y>
    </cdr:from>
    <cdr:to>
      <cdr:x>0.64259</cdr:x>
      <cdr:y>0.57099</cdr:y>
    </cdr:to>
    <cdr:cxnSp macro="">
      <cdr:nvCxnSpPr>
        <cdr:cNvPr id="3" name="Straight Connector 2">
          <a:extLst xmlns:a="http://schemas.openxmlformats.org/drawingml/2006/main">
            <a:ext uri="{FF2B5EF4-FFF2-40B4-BE49-F238E27FC236}">
              <a16:creationId xmlns:a16="http://schemas.microsoft.com/office/drawing/2014/main" id="{34798B1A-4F3D-A645-198F-94176A81A839}"/>
            </a:ext>
          </a:extLst>
        </cdr:cNvPr>
        <cdr:cNvCxnSpPr/>
      </cdr:nvCxnSpPr>
      <cdr:spPr bwMode="auto">
        <a:xfrm xmlns:a="http://schemas.openxmlformats.org/drawingml/2006/main" flipV="1">
          <a:off x="2937933" y="524933"/>
          <a:ext cx="0" cy="10414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cdr:spPr>
    </cdr:cxnSp>
  </cdr:relSizeAnchor>
  <cdr:relSizeAnchor xmlns:cdr="http://schemas.openxmlformats.org/drawingml/2006/chartDrawing">
    <cdr:from>
      <cdr:x>0.57407</cdr:x>
      <cdr:y>0.09877</cdr:y>
    </cdr:from>
    <cdr:to>
      <cdr:x>0.74074</cdr:x>
      <cdr:y>0.18518</cdr:y>
    </cdr:to>
    <cdr:sp macro="" textlink="">
      <cdr:nvSpPr>
        <cdr:cNvPr id="4" name="TextBox 3">
          <a:extLst xmlns:a="http://schemas.openxmlformats.org/drawingml/2006/main">
            <a:ext uri="{FF2B5EF4-FFF2-40B4-BE49-F238E27FC236}">
              <a16:creationId xmlns:a16="http://schemas.microsoft.com/office/drawing/2014/main" id="{F8038F50-9863-2F6F-C3BA-AA03A7EE8D8D}"/>
            </a:ext>
          </a:extLst>
        </cdr:cNvPr>
        <cdr:cNvSpPr txBox="1"/>
      </cdr:nvSpPr>
      <cdr:spPr>
        <a:xfrm xmlns:a="http://schemas.openxmlformats.org/drawingml/2006/main">
          <a:off x="2624667" y="270933"/>
          <a:ext cx="762000" cy="2370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IRR</a:t>
          </a:r>
          <a:r>
            <a:rPr lang="en-US" sz="1100" baseline="0"/>
            <a:t> = 0.36</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E1C3-C60F-7C4D-805B-BB2C3A95A6A6}">
  <sheetPr codeName="Sheet2"/>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2DDB-5475-4B4A-A60A-AE2E83C673DB}">
  <sheetPr codeName="Sheet8"/>
  <dimension ref="B2:AD97"/>
  <sheetViews>
    <sheetView zoomScale="150" zoomScaleNormal="150" workbookViewId="0"/>
  </sheetViews>
  <sheetFormatPr baseColWidth="10" defaultRowHeight="13" x14ac:dyDescent="0.15"/>
  <cols>
    <col min="1" max="4" width="2.83203125" customWidth="1"/>
    <col min="5" max="5" width="10.83203125" customWidth="1"/>
    <col min="7" max="10" width="8.6640625" customWidth="1"/>
    <col min="11" max="11" width="2.83203125" customWidth="1"/>
    <col min="12" max="12" width="7.1640625" bestFit="1" customWidth="1"/>
    <col min="13" max="13" width="8.1640625" bestFit="1" customWidth="1"/>
    <col min="14" max="14" width="2.83203125" customWidth="1"/>
    <col min="18" max="18" width="1.6640625" customWidth="1"/>
    <col min="20" max="20" width="1.6640625" customWidth="1"/>
    <col min="22" max="22" width="1.6640625" customWidth="1"/>
    <col min="24" max="24" width="1.6640625" customWidth="1"/>
    <col min="26" max="26" width="1.6640625" customWidth="1"/>
    <col min="28" max="28" width="1.6640625" customWidth="1"/>
  </cols>
  <sheetData>
    <row r="2" spans="2:30" x14ac:dyDescent="0.15">
      <c r="B2" s="1" t="s">
        <v>60</v>
      </c>
      <c r="G2" s="37">
        <v>0.12</v>
      </c>
    </row>
    <row r="3" spans="2:30" x14ac:dyDescent="0.15">
      <c r="R3" s="32" t="s">
        <v>79</v>
      </c>
      <c r="S3" s="32" t="s">
        <v>83</v>
      </c>
      <c r="Z3" s="32" t="s">
        <v>79</v>
      </c>
      <c r="AB3" s="32" t="s">
        <v>79</v>
      </c>
      <c r="AD3" s="43" t="s">
        <v>80</v>
      </c>
    </row>
    <row r="4" spans="2:30" x14ac:dyDescent="0.15">
      <c r="Q4" s="32" t="s">
        <v>82</v>
      </c>
    </row>
    <row r="5" spans="2:30" x14ac:dyDescent="0.15">
      <c r="B5" s="1" t="s">
        <v>77</v>
      </c>
      <c r="G5" s="40">
        <v>0</v>
      </c>
      <c r="H5" s="40">
        <f>G5+1</f>
        <v>1</v>
      </c>
      <c r="I5" s="40">
        <f t="shared" ref="I5:J5" si="0">H5+1</f>
        <v>2</v>
      </c>
      <c r="J5" s="40">
        <f t="shared" si="0"/>
        <v>3</v>
      </c>
      <c r="L5" s="40" t="s">
        <v>55</v>
      </c>
      <c r="M5" s="40" t="s">
        <v>56</v>
      </c>
      <c r="N5" s="1"/>
      <c r="O5" s="40" t="s">
        <v>102</v>
      </c>
      <c r="Q5" t="s">
        <v>77</v>
      </c>
      <c r="R5" s="32" t="s">
        <v>79</v>
      </c>
      <c r="S5">
        <v>0</v>
      </c>
      <c r="T5" s="32" t="s">
        <v>79</v>
      </c>
      <c r="U5">
        <v>1</v>
      </c>
      <c r="V5" s="32" t="s">
        <v>79</v>
      </c>
      <c r="W5">
        <v>2</v>
      </c>
      <c r="X5" s="32" t="s">
        <v>79</v>
      </c>
      <c r="Y5">
        <v>3</v>
      </c>
      <c r="Z5" s="32" t="s">
        <v>79</v>
      </c>
      <c r="AA5" t="s">
        <v>55</v>
      </c>
      <c r="AB5" s="32" t="s">
        <v>79</v>
      </c>
      <c r="AC5" t="s">
        <v>56</v>
      </c>
      <c r="AD5" s="43" t="s">
        <v>80</v>
      </c>
    </row>
    <row r="6" spans="2:30" x14ac:dyDescent="0.15">
      <c r="Q6" s="32" t="s">
        <v>78</v>
      </c>
    </row>
    <row r="7" spans="2:30" x14ac:dyDescent="0.15">
      <c r="B7" s="32" t="s">
        <v>61</v>
      </c>
      <c r="G7" s="6">
        <v>-100</v>
      </c>
      <c r="H7" s="6">
        <v>60</v>
      </c>
      <c r="I7" s="6">
        <v>60</v>
      </c>
      <c r="J7" s="6">
        <v>60</v>
      </c>
      <c r="L7" s="33">
        <f>G7+NPV('app-vanguard-it'!$G$2,'app-vanguard-it'!H7:J7)</f>
        <v>44.109876093294446</v>
      </c>
      <c r="M7" s="36">
        <f>IRR(G7:J7)</f>
        <v>0.36309653946985665</v>
      </c>
      <c r="N7" s="36"/>
      <c r="O7" s="37">
        <f>MIRR(G7:J7,$G$2,$G$2)</f>
        <v>0.26507402171694094</v>
      </c>
      <c r="Q7" t="s">
        <v>61</v>
      </c>
      <c r="R7" s="32" t="s">
        <v>79</v>
      </c>
      <c r="S7" s="15">
        <v>-100</v>
      </c>
      <c r="T7" s="32" t="s">
        <v>79</v>
      </c>
      <c r="U7" s="15">
        <v>60</v>
      </c>
      <c r="V7" s="32" t="s">
        <v>79</v>
      </c>
      <c r="W7" s="15">
        <v>60</v>
      </c>
      <c r="X7" s="32" t="s">
        <v>79</v>
      </c>
      <c r="Y7" s="15">
        <v>60</v>
      </c>
      <c r="Z7" s="32" t="s">
        <v>79</v>
      </c>
      <c r="AA7" s="44">
        <v>44.109876093294446</v>
      </c>
      <c r="AB7" s="32" t="s">
        <v>79</v>
      </c>
      <c r="AC7" s="36">
        <v>0.36309653946985665</v>
      </c>
      <c r="AD7" s="43" t="s">
        <v>80</v>
      </c>
    </row>
    <row r="8" spans="2:30" x14ac:dyDescent="0.15">
      <c r="B8" s="32" t="s">
        <v>62</v>
      </c>
      <c r="G8" s="6">
        <v>-20</v>
      </c>
      <c r="H8" s="6">
        <v>25</v>
      </c>
      <c r="I8" s="6">
        <v>25</v>
      </c>
      <c r="J8" s="6">
        <v>25</v>
      </c>
      <c r="L8" s="33">
        <f>G8+NPV('app-vanguard-it'!$G$2,'app-vanguard-it'!H8:J8)</f>
        <v>40.045781705539355</v>
      </c>
      <c r="M8" s="36">
        <f t="shared" ref="M8:M19" si="1">IRR(G8:J8)</f>
        <v>1.1185376269563694</v>
      </c>
      <c r="N8" s="36"/>
      <c r="O8" s="37">
        <f t="shared" ref="O8:O12" si="2">MIRR(G8:J8,$G$2,$G$2)</f>
        <v>0.61573025919623081</v>
      </c>
      <c r="Q8" t="s">
        <v>62</v>
      </c>
      <c r="R8" s="32" t="s">
        <v>79</v>
      </c>
      <c r="S8" s="15">
        <v>-20</v>
      </c>
      <c r="T8" s="32" t="s">
        <v>79</v>
      </c>
      <c r="U8" s="15">
        <v>25</v>
      </c>
      <c r="V8" s="32" t="s">
        <v>79</v>
      </c>
      <c r="W8" s="15">
        <v>25</v>
      </c>
      <c r="X8" s="32" t="s">
        <v>79</v>
      </c>
      <c r="Y8" s="15">
        <v>25</v>
      </c>
      <c r="Z8" s="32" t="s">
        <v>79</v>
      </c>
      <c r="AA8" s="44">
        <v>40.045781705539355</v>
      </c>
      <c r="AB8" s="32" t="s">
        <v>79</v>
      </c>
      <c r="AC8" s="36">
        <v>1.1185376269563694</v>
      </c>
      <c r="AD8" s="43" t="s">
        <v>80</v>
      </c>
    </row>
    <row r="9" spans="2:30" x14ac:dyDescent="0.15">
      <c r="B9" s="32" t="s">
        <v>63</v>
      </c>
      <c r="G9" s="6">
        <v>-100</v>
      </c>
      <c r="H9" s="6">
        <v>90</v>
      </c>
      <c r="I9" s="6">
        <v>70</v>
      </c>
      <c r="J9" s="6">
        <v>5</v>
      </c>
      <c r="L9" s="33">
        <f>G9+NPV('app-vanguard-it'!$G$2,'app-vanguard-it'!H9:J9)</f>
        <v>39.719615524781318</v>
      </c>
      <c r="M9" s="36">
        <f t="shared" si="1"/>
        <v>0.41837574822920476</v>
      </c>
      <c r="N9" s="36"/>
      <c r="O9" s="37">
        <f t="shared" si="2"/>
        <v>0.25209462142167505</v>
      </c>
      <c r="Q9" t="s">
        <v>63</v>
      </c>
      <c r="R9" s="32" t="s">
        <v>79</v>
      </c>
      <c r="S9" s="15">
        <v>-100</v>
      </c>
      <c r="T9" s="32" t="s">
        <v>79</v>
      </c>
      <c r="U9" s="15">
        <v>90</v>
      </c>
      <c r="V9" s="32" t="s">
        <v>79</v>
      </c>
      <c r="W9" s="15">
        <v>70</v>
      </c>
      <c r="X9" s="32" t="s">
        <v>79</v>
      </c>
      <c r="Y9" s="15">
        <v>5</v>
      </c>
      <c r="Z9" s="32" t="s">
        <v>79</v>
      </c>
      <c r="AA9" s="44">
        <v>39.719615524781318</v>
      </c>
      <c r="AB9" s="32" t="s">
        <v>79</v>
      </c>
      <c r="AC9" s="36">
        <v>0.41837574822920476</v>
      </c>
      <c r="AD9" s="43" t="s">
        <v>80</v>
      </c>
    </row>
    <row r="10" spans="2:30" x14ac:dyDescent="0.15">
      <c r="B10" s="32" t="s">
        <v>64</v>
      </c>
      <c r="G10" s="6">
        <v>50</v>
      </c>
      <c r="H10" s="6">
        <v>-60</v>
      </c>
      <c r="I10" s="6">
        <v>75</v>
      </c>
      <c r="J10" s="6"/>
      <c r="L10" s="33">
        <f>G10+NPV('app-vanguard-it'!$G$2,'app-vanguard-it'!H10:J10)</f>
        <v>56.218112244897952</v>
      </c>
      <c r="M10" s="36" t="e">
        <f t="shared" si="1"/>
        <v>#NUM!</v>
      </c>
      <c r="N10" s="36"/>
      <c r="O10" s="37">
        <f t="shared" si="2"/>
        <v>0.60336313208622006</v>
      </c>
      <c r="Q10" t="s">
        <v>64</v>
      </c>
      <c r="R10" s="32" t="s">
        <v>79</v>
      </c>
      <c r="S10" s="15">
        <v>50</v>
      </c>
      <c r="T10" s="32" t="s">
        <v>79</v>
      </c>
      <c r="U10" s="15">
        <v>-60</v>
      </c>
      <c r="V10" s="32" t="s">
        <v>79</v>
      </c>
      <c r="W10" s="15">
        <v>75</v>
      </c>
      <c r="X10" s="32" t="s">
        <v>79</v>
      </c>
      <c r="Y10" s="15"/>
      <c r="Z10" s="32" t="s">
        <v>79</v>
      </c>
      <c r="AA10" s="44">
        <v>56.218112244897952</v>
      </c>
      <c r="AB10" s="32" t="s">
        <v>79</v>
      </c>
      <c r="AC10" s="45" t="s">
        <v>81</v>
      </c>
      <c r="AD10" s="43" t="s">
        <v>80</v>
      </c>
    </row>
    <row r="11" spans="2:30" x14ac:dyDescent="0.15">
      <c r="B11" s="32" t="s">
        <v>65</v>
      </c>
      <c r="G11" s="6">
        <v>-20</v>
      </c>
      <c r="H11" s="6">
        <v>20</v>
      </c>
      <c r="I11" s="6">
        <v>20</v>
      </c>
      <c r="J11" s="6">
        <v>20</v>
      </c>
      <c r="L11" s="33">
        <f>G11+NPV('app-vanguard-it'!$G$2,'app-vanguard-it'!H11:J11)</f>
        <v>28.03662536443148</v>
      </c>
      <c r="M11" s="36">
        <f t="shared" si="1"/>
        <v>0.8392867552102854</v>
      </c>
      <c r="N11" s="36"/>
      <c r="O11" s="37">
        <f t="shared" si="2"/>
        <v>0.49991110584310117</v>
      </c>
      <c r="Q11" t="s">
        <v>65</v>
      </c>
      <c r="R11" s="32" t="s">
        <v>79</v>
      </c>
      <c r="S11" s="15">
        <v>-20</v>
      </c>
      <c r="T11" s="32" t="s">
        <v>79</v>
      </c>
      <c r="U11" s="15">
        <v>20</v>
      </c>
      <c r="V11" s="32" t="s">
        <v>79</v>
      </c>
      <c r="W11" s="15">
        <v>20</v>
      </c>
      <c r="X11" s="32" t="s">
        <v>79</v>
      </c>
      <c r="Y11" s="15">
        <v>20</v>
      </c>
      <c r="Z11" s="32" t="s">
        <v>79</v>
      </c>
      <c r="AA11" s="44">
        <v>28.03662536443148</v>
      </c>
      <c r="AB11" s="32" t="s">
        <v>79</v>
      </c>
      <c r="AC11" s="36">
        <v>0.8392867552102854</v>
      </c>
      <c r="AD11" s="43" t="s">
        <v>80</v>
      </c>
    </row>
    <row r="12" spans="2:30" x14ac:dyDescent="0.15">
      <c r="B12" s="32" t="s">
        <v>66</v>
      </c>
      <c r="G12" s="6">
        <v>50</v>
      </c>
      <c r="H12" s="6">
        <v>50</v>
      </c>
      <c r="I12" s="6">
        <v>50</v>
      </c>
      <c r="J12" s="6">
        <v>-125</v>
      </c>
      <c r="L12" s="33">
        <f>G12+NPV('app-vanguard-it'!$G$2,'app-vanguard-it'!H12:J12)</f>
        <v>45.530020043731795</v>
      </c>
      <c r="M12" s="36">
        <f t="shared" si="1"/>
        <v>-8.8431495282014994E-2</v>
      </c>
      <c r="N12" s="36"/>
      <c r="O12" s="37">
        <f t="shared" si="2"/>
        <v>0.28541357313774096</v>
      </c>
      <c r="Q12" t="s">
        <v>66</v>
      </c>
      <c r="R12" s="32" t="s">
        <v>79</v>
      </c>
      <c r="S12" s="15">
        <v>50</v>
      </c>
      <c r="T12" s="32" t="s">
        <v>79</v>
      </c>
      <c r="U12" s="15">
        <v>50</v>
      </c>
      <c r="V12" s="32" t="s">
        <v>79</v>
      </c>
      <c r="W12" s="15">
        <v>50</v>
      </c>
      <c r="X12" s="32" t="s">
        <v>79</v>
      </c>
      <c r="Y12" s="15">
        <v>-125</v>
      </c>
      <c r="Z12" s="32" t="s">
        <v>79</v>
      </c>
      <c r="AA12" s="44">
        <v>45.530020043731795</v>
      </c>
      <c r="AB12" s="32" t="s">
        <v>79</v>
      </c>
      <c r="AC12" s="36">
        <v>-8.8431495282014994E-2</v>
      </c>
      <c r="AD12" s="43" t="s">
        <v>80</v>
      </c>
    </row>
    <row r="13" spans="2:30" x14ac:dyDescent="0.15">
      <c r="L13" s="33"/>
      <c r="M13" s="36"/>
      <c r="N13" s="36"/>
      <c r="Q13" s="32" t="s">
        <v>78</v>
      </c>
    </row>
    <row r="14" spans="2:30" x14ac:dyDescent="0.15">
      <c r="L14" s="33"/>
      <c r="M14" s="36"/>
      <c r="N14" s="36"/>
    </row>
    <row r="15" spans="2:30" x14ac:dyDescent="0.15">
      <c r="B15" s="1" t="s">
        <v>67</v>
      </c>
      <c r="L15" s="33"/>
      <c r="M15" s="36"/>
      <c r="N15" s="36"/>
    </row>
    <row r="16" spans="2:30" x14ac:dyDescent="0.15">
      <c r="C16" s="32" t="s">
        <v>68</v>
      </c>
      <c r="G16" s="6"/>
      <c r="H16" s="6">
        <f>H7</f>
        <v>60</v>
      </c>
      <c r="I16" s="6">
        <f t="shared" ref="I16:J16" si="3">I7</f>
        <v>60</v>
      </c>
      <c r="J16" s="6">
        <f t="shared" si="3"/>
        <v>60</v>
      </c>
      <c r="L16" s="33"/>
      <c r="M16" s="36"/>
      <c r="N16" s="36"/>
    </row>
    <row r="17" spans="2:14" x14ac:dyDescent="0.15">
      <c r="C17" s="32" t="s">
        <v>69</v>
      </c>
      <c r="G17" s="6">
        <v>-100</v>
      </c>
      <c r="H17" s="6"/>
      <c r="I17" s="6"/>
      <c r="J17" s="6"/>
      <c r="M17" s="36"/>
      <c r="N17" s="36"/>
    </row>
    <row r="18" spans="2:14" x14ac:dyDescent="0.15">
      <c r="C18" s="32" t="s">
        <v>70</v>
      </c>
      <c r="G18" s="6">
        <v>80</v>
      </c>
      <c r="H18" s="6">
        <v>-35</v>
      </c>
      <c r="I18" s="6">
        <v>-35</v>
      </c>
      <c r="J18" s="6">
        <v>-35</v>
      </c>
      <c r="L18" s="33">
        <f>G18+NPV('app-vanguard-it'!$G$2,'app-vanguard-it'!H18:J18)</f>
        <v>-4.064094387755091</v>
      </c>
      <c r="M18" s="36">
        <f t="shared" si="1"/>
        <v>0.14934321973609777</v>
      </c>
      <c r="N18" s="36"/>
    </row>
    <row r="19" spans="2:14" x14ac:dyDescent="0.15">
      <c r="C19" s="32" t="s">
        <v>54</v>
      </c>
      <c r="G19" s="15">
        <f>SUM(G16:G18)</f>
        <v>-20</v>
      </c>
      <c r="H19" s="15">
        <f t="shared" ref="H19:J19" si="4">SUM(H16:H18)</f>
        <v>25</v>
      </c>
      <c r="I19" s="15">
        <f t="shared" si="4"/>
        <v>25</v>
      </c>
      <c r="J19" s="15">
        <f t="shared" si="4"/>
        <v>25</v>
      </c>
      <c r="L19" s="33">
        <f>G19+NPV('app-vanguard-it'!$G$2,'app-vanguard-it'!H19:J19)</f>
        <v>40.045781705539355</v>
      </c>
      <c r="M19" s="36">
        <f t="shared" si="1"/>
        <v>1.1185376269563694</v>
      </c>
      <c r="N19" s="36"/>
    </row>
    <row r="20" spans="2:14" x14ac:dyDescent="0.15">
      <c r="C20" s="32"/>
      <c r="G20" s="15"/>
      <c r="H20" s="15"/>
      <c r="I20" s="15"/>
      <c r="J20" s="15"/>
      <c r="L20" s="33"/>
      <c r="M20" s="36"/>
      <c r="N20" s="36"/>
    </row>
    <row r="21" spans="2:14" x14ac:dyDescent="0.15">
      <c r="B21" s="1" t="s">
        <v>76</v>
      </c>
    </row>
    <row r="22" spans="2:14" x14ac:dyDescent="0.15">
      <c r="C22" s="32" t="s">
        <v>72</v>
      </c>
      <c r="G22" s="42">
        <v>0.12000029979858304</v>
      </c>
    </row>
    <row r="23" spans="2:14" x14ac:dyDescent="0.15">
      <c r="C23" s="32" t="s">
        <v>73</v>
      </c>
      <c r="G23" s="38">
        <f>(G18*G22)/(1-(1+G22)^(-3))</f>
        <v>33.307935604138954</v>
      </c>
    </row>
    <row r="24" spans="2:14" x14ac:dyDescent="0.15">
      <c r="C24" s="32" t="s">
        <v>71</v>
      </c>
      <c r="G24" s="38">
        <f>(G23/G2)*(1-(1+G2)^(-3))</f>
        <v>80.000041213931667</v>
      </c>
    </row>
    <row r="25" spans="2:14" x14ac:dyDescent="0.15">
      <c r="C25" s="32" t="s">
        <v>74</v>
      </c>
      <c r="G25" s="38">
        <f>G18-G24</f>
        <v>-4.1213931666561621E-5</v>
      </c>
    </row>
    <row r="26" spans="2:14" x14ac:dyDescent="0.15">
      <c r="C26" s="32" t="s">
        <v>75</v>
      </c>
      <c r="G26" s="34">
        <f>H16-G23</f>
        <v>26.692064395861046</v>
      </c>
    </row>
    <row r="28" spans="2:14" x14ac:dyDescent="0.15">
      <c r="C28" t="s">
        <v>54</v>
      </c>
      <c r="G28" s="41">
        <f>G19</f>
        <v>-20</v>
      </c>
      <c r="H28" s="51">
        <f>H16-$G$23</f>
        <v>26.692064395861046</v>
      </c>
      <c r="I28" s="51">
        <f t="shared" ref="I28:J28" si="5">I16-$G$23</f>
        <v>26.692064395861046</v>
      </c>
      <c r="J28" s="51">
        <f t="shared" si="5"/>
        <v>26.692064395861046</v>
      </c>
      <c r="L28" s="52">
        <f>G28+NPV(G2,H28:J28)</f>
        <v>44.10983487936285</v>
      </c>
      <c r="M28" s="37">
        <f>IRR(G28:J28)</f>
        <v>1.2111516624421999</v>
      </c>
    </row>
    <row r="29" spans="2:14" x14ac:dyDescent="0.15">
      <c r="D29" t="s">
        <v>56</v>
      </c>
    </row>
    <row r="32" spans="2:14" x14ac:dyDescent="0.15">
      <c r="B32" s="1" t="s">
        <v>117</v>
      </c>
    </row>
    <row r="34" spans="7:8" x14ac:dyDescent="0.15">
      <c r="G34" s="46" t="s">
        <v>118</v>
      </c>
      <c r="H34" s="46" t="s">
        <v>55</v>
      </c>
    </row>
    <row r="35" spans="7:8" x14ac:dyDescent="0.15">
      <c r="G35" s="44">
        <v>0.01</v>
      </c>
      <c r="H35" s="44">
        <f>$G$10+NPV(G35,$H$10:$I$10)</f>
        <v>64.116263111459659</v>
      </c>
    </row>
    <row r="36" spans="7:8" x14ac:dyDescent="0.15">
      <c r="G36" s="44">
        <f>G35+0.1</f>
        <v>0.11</v>
      </c>
      <c r="H36" s="44">
        <f t="shared" ref="H36:H65" si="6">$G$10+NPV(G36,$H$10:$I$10)</f>
        <v>56.817628439250058</v>
      </c>
    </row>
    <row r="37" spans="7:8" x14ac:dyDescent="0.15">
      <c r="G37" s="44">
        <f t="shared" ref="G37:G55" si="7">G36+0.1</f>
        <v>0.21000000000000002</v>
      </c>
      <c r="H37" s="44">
        <f t="shared" si="6"/>
        <v>51.639232292876173</v>
      </c>
    </row>
    <row r="38" spans="7:8" x14ac:dyDescent="0.15">
      <c r="G38" s="44">
        <f t="shared" si="7"/>
        <v>0.31000000000000005</v>
      </c>
      <c r="H38" s="44">
        <f t="shared" si="6"/>
        <v>47.902220150340888</v>
      </c>
    </row>
    <row r="39" spans="7:8" x14ac:dyDescent="0.15">
      <c r="G39" s="44">
        <f t="shared" si="7"/>
        <v>0.41000000000000003</v>
      </c>
      <c r="H39" s="44">
        <f t="shared" si="6"/>
        <v>45.171269050852572</v>
      </c>
    </row>
    <row r="40" spans="7:8" x14ac:dyDescent="0.15">
      <c r="G40" s="44">
        <f t="shared" si="7"/>
        <v>0.51</v>
      </c>
      <c r="H40" s="44">
        <f t="shared" si="6"/>
        <v>43.158194816016845</v>
      </c>
    </row>
    <row r="41" spans="7:8" x14ac:dyDescent="0.15">
      <c r="G41" s="44">
        <f t="shared" si="7"/>
        <v>0.61</v>
      </c>
      <c r="H41" s="44">
        <f t="shared" si="6"/>
        <v>41.666988156321132</v>
      </c>
    </row>
    <row r="42" spans="7:8" x14ac:dyDescent="0.15">
      <c r="G42" s="44">
        <f t="shared" si="7"/>
        <v>0.71</v>
      </c>
      <c r="H42" s="44">
        <f t="shared" si="6"/>
        <v>40.561198317431007</v>
      </c>
    </row>
    <row r="43" spans="7:8" x14ac:dyDescent="0.15">
      <c r="G43" s="44">
        <f t="shared" si="7"/>
        <v>0.80999999999999994</v>
      </c>
      <c r="H43" s="44">
        <f t="shared" si="6"/>
        <v>39.7439028112695</v>
      </c>
    </row>
    <row r="44" spans="7:8" x14ac:dyDescent="0.15">
      <c r="G44" s="44">
        <f t="shared" si="7"/>
        <v>0.90999999999999992</v>
      </c>
      <c r="H44" s="44">
        <f t="shared" si="6"/>
        <v>39.14503440146926</v>
      </c>
    </row>
    <row r="45" spans="7:8" x14ac:dyDescent="0.15">
      <c r="G45" s="44">
        <f t="shared" si="7"/>
        <v>1.01</v>
      </c>
      <c r="H45" s="44">
        <f t="shared" si="6"/>
        <v>38.713150664587509</v>
      </c>
    </row>
    <row r="46" spans="7:8" x14ac:dyDescent="0.15">
      <c r="G46" s="44">
        <f t="shared" si="7"/>
        <v>1.1100000000000001</v>
      </c>
      <c r="H46" s="44">
        <f t="shared" si="6"/>
        <v>38.409963837290263</v>
      </c>
    </row>
    <row r="47" spans="7:8" x14ac:dyDescent="0.15">
      <c r="G47" s="44">
        <f t="shared" si="7"/>
        <v>1.2100000000000002</v>
      </c>
      <c r="H47" s="44">
        <f t="shared" si="6"/>
        <v>38.206629675887058</v>
      </c>
    </row>
    <row r="48" spans="7:8" x14ac:dyDescent="0.15">
      <c r="G48" s="44">
        <f t="shared" si="7"/>
        <v>1.3100000000000003</v>
      </c>
      <c r="H48" s="44">
        <f t="shared" si="6"/>
        <v>38.08118288637769</v>
      </c>
    </row>
    <row r="49" spans="7:8" x14ac:dyDescent="0.15">
      <c r="G49" s="44">
        <f t="shared" si="7"/>
        <v>1.4100000000000004</v>
      </c>
      <c r="H49" s="44">
        <f t="shared" si="6"/>
        <v>38.016735249048743</v>
      </c>
    </row>
    <row r="50" spans="7:8" x14ac:dyDescent="0.15">
      <c r="G50" s="44">
        <f t="shared" si="7"/>
        <v>1.5100000000000005</v>
      </c>
      <c r="H50" s="44">
        <f t="shared" si="6"/>
        <v>38.000190473167095</v>
      </c>
    </row>
    <row r="51" spans="7:8" x14ac:dyDescent="0.15">
      <c r="G51" s="44">
        <f t="shared" si="7"/>
        <v>1.6100000000000005</v>
      </c>
      <c r="H51" s="44">
        <f t="shared" si="6"/>
        <v>38.021315012991586</v>
      </c>
    </row>
    <row r="52" spans="7:8" x14ac:dyDescent="0.15">
      <c r="G52" s="44">
        <f t="shared" si="7"/>
        <v>1.7100000000000006</v>
      </c>
      <c r="H52" s="44">
        <f t="shared" si="6"/>
        <v>38.072057842349636</v>
      </c>
    </row>
    <row r="53" spans="7:8" x14ac:dyDescent="0.15">
      <c r="G53" s="44">
        <f t="shared" si="7"/>
        <v>1.8100000000000007</v>
      </c>
      <c r="H53" s="44">
        <f t="shared" si="6"/>
        <v>38.146046782588876</v>
      </c>
    </row>
    <row r="54" spans="7:8" x14ac:dyDescent="0.15">
      <c r="G54" s="44">
        <f t="shared" si="7"/>
        <v>1.9100000000000008</v>
      </c>
      <c r="H54" s="44">
        <f t="shared" si="6"/>
        <v>38.238211641336314</v>
      </c>
    </row>
    <row r="55" spans="7:8" x14ac:dyDescent="0.15">
      <c r="G55" s="44">
        <f t="shared" si="7"/>
        <v>2.0100000000000007</v>
      </c>
      <c r="H55" s="44">
        <f t="shared" si="6"/>
        <v>38.34449950883544</v>
      </c>
    </row>
    <row r="56" spans="7:8" x14ac:dyDescent="0.15">
      <c r="G56" s="44">
        <f t="shared" ref="G56:G65" si="8">G55+0.1</f>
        <v>2.1100000000000008</v>
      </c>
      <c r="H56" s="44">
        <f t="shared" si="6"/>
        <v>38.461657757880914</v>
      </c>
    </row>
    <row r="57" spans="7:8" x14ac:dyDescent="0.15">
      <c r="G57" s="44">
        <f t="shared" si="8"/>
        <v>2.2100000000000009</v>
      </c>
      <c r="H57" s="44">
        <f t="shared" si="6"/>
        <v>38.587067283896701</v>
      </c>
    </row>
    <row r="58" spans="7:8" x14ac:dyDescent="0.15">
      <c r="G58" s="44">
        <f t="shared" si="8"/>
        <v>2.3100000000000009</v>
      </c>
      <c r="H58" s="44">
        <f t="shared" si="6"/>
        <v>38.718613375197378</v>
      </c>
    </row>
    <row r="59" spans="7:8" x14ac:dyDescent="0.15">
      <c r="G59" s="44">
        <f t="shared" si="8"/>
        <v>2.410000000000001</v>
      </c>
      <c r="H59" s="44">
        <f t="shared" si="6"/>
        <v>38.854585013888766</v>
      </c>
    </row>
    <row r="60" spans="7:8" x14ac:dyDescent="0.15">
      <c r="G60" s="44">
        <f t="shared" si="8"/>
        <v>2.5100000000000011</v>
      </c>
      <c r="H60" s="44">
        <f t="shared" si="6"/>
        <v>38.993595831202668</v>
      </c>
    </row>
    <row r="61" spans="7:8" x14ac:dyDescent="0.15">
      <c r="G61" s="44">
        <f t="shared" si="8"/>
        <v>2.6100000000000012</v>
      </c>
      <c r="H61" s="44">
        <f t="shared" si="6"/>
        <v>39.134521681079796</v>
      </c>
    </row>
    <row r="62" spans="7:8" x14ac:dyDescent="0.15">
      <c r="G62" s="44">
        <f t="shared" si="8"/>
        <v>2.7100000000000013</v>
      </c>
      <c r="H62" s="44">
        <f t="shared" si="6"/>
        <v>39.276451057461074</v>
      </c>
    </row>
    <row r="63" spans="7:8" x14ac:dyDescent="0.15">
      <c r="G63" s="44">
        <f t="shared" si="8"/>
        <v>2.8100000000000014</v>
      </c>
      <c r="H63" s="44">
        <f t="shared" si="6"/>
        <v>39.418645503957677</v>
      </c>
    </row>
    <row r="64" spans="7:8" x14ac:dyDescent="0.15">
      <c r="G64" s="44">
        <f t="shared" si="8"/>
        <v>2.9100000000000015</v>
      </c>
      <c r="H64" s="44">
        <f t="shared" si="6"/>
        <v>39.560507845971706</v>
      </c>
    </row>
    <row r="65" spans="2:8" x14ac:dyDescent="0.15">
      <c r="G65" s="44">
        <f t="shared" si="8"/>
        <v>3.0100000000000016</v>
      </c>
      <c r="H65" s="44">
        <f t="shared" si="6"/>
        <v>39.701556582359565</v>
      </c>
    </row>
    <row r="66" spans="2:8" x14ac:dyDescent="0.15">
      <c r="G66" s="44"/>
      <c r="H66" s="44"/>
    </row>
    <row r="67" spans="2:8" x14ac:dyDescent="0.15">
      <c r="B67" s="1" t="s">
        <v>119</v>
      </c>
      <c r="G67" s="44"/>
      <c r="H67" s="44"/>
    </row>
    <row r="68" spans="2:8" x14ac:dyDescent="0.15">
      <c r="G68" s="46" t="s">
        <v>118</v>
      </c>
      <c r="H68" s="46" t="s">
        <v>55</v>
      </c>
    </row>
    <row r="69" spans="2:8" x14ac:dyDescent="0.15">
      <c r="G69" s="44">
        <v>0.01</v>
      </c>
      <c r="H69" s="44">
        <f>$G$7+NPV(G69,$H$7:$J$7)</f>
        <v>76.459112434133317</v>
      </c>
    </row>
    <row r="70" spans="2:8" x14ac:dyDescent="0.15">
      <c r="G70" s="44">
        <f>G69+0.05</f>
        <v>6.0000000000000005E-2</v>
      </c>
      <c r="H70" s="44">
        <f t="shared" ref="H70:H89" si="9">$G$7+NPV(G70,$H$7:$J$7)</f>
        <v>60.380716967698163</v>
      </c>
    </row>
    <row r="71" spans="2:8" x14ac:dyDescent="0.15">
      <c r="G71" s="44">
        <f t="shared" ref="G71:G81" si="10">G70+0.05</f>
        <v>0.11000000000000001</v>
      </c>
      <c r="H71" s="44">
        <f t="shared" si="9"/>
        <v>46.622882926754357</v>
      </c>
    </row>
    <row r="72" spans="2:8" x14ac:dyDescent="0.15">
      <c r="G72" s="44">
        <f t="shared" si="10"/>
        <v>0.16000000000000003</v>
      </c>
      <c r="H72" s="44">
        <f t="shared" si="9"/>
        <v>34.753372421993504</v>
      </c>
    </row>
    <row r="73" spans="2:8" x14ac:dyDescent="0.15">
      <c r="G73" s="44">
        <f t="shared" si="10"/>
        <v>0.21000000000000002</v>
      </c>
      <c r="H73" s="44">
        <f t="shared" si="9"/>
        <v>24.436019984635038</v>
      </c>
    </row>
    <row r="74" spans="2:8" x14ac:dyDescent="0.15">
      <c r="G74" s="44">
        <f t="shared" si="10"/>
        <v>0.26</v>
      </c>
      <c r="H74" s="44">
        <f t="shared" si="9"/>
        <v>15.406303614920375</v>
      </c>
    </row>
    <row r="75" spans="2:8" x14ac:dyDescent="0.15">
      <c r="G75" s="44">
        <f t="shared" si="10"/>
        <v>0.31</v>
      </c>
      <c r="H75" s="44">
        <f t="shared" si="9"/>
        <v>7.4538352762410369</v>
      </c>
    </row>
    <row r="76" spans="2:8" x14ac:dyDescent="0.15">
      <c r="G76" s="44">
        <f t="shared" si="10"/>
        <v>0.36</v>
      </c>
      <c r="H76" s="44">
        <f t="shared" si="9"/>
        <v>0.4096275188276195</v>
      </c>
    </row>
    <row r="77" spans="2:8" x14ac:dyDescent="0.15">
      <c r="G77" s="44">
        <f t="shared" si="10"/>
        <v>0.41</v>
      </c>
      <c r="H77" s="44">
        <f t="shared" si="9"/>
        <v>-5.8632908357921139</v>
      </c>
    </row>
    <row r="78" spans="2:8" x14ac:dyDescent="0.15">
      <c r="G78" s="44">
        <f t="shared" si="10"/>
        <v>0.45999999999999996</v>
      </c>
      <c r="H78" s="44">
        <f t="shared" si="9"/>
        <v>-11.476876331882664</v>
      </c>
    </row>
    <row r="79" spans="2:8" x14ac:dyDescent="0.15">
      <c r="G79" s="44">
        <f t="shared" si="10"/>
        <v>0.51</v>
      </c>
      <c r="H79" s="44">
        <f t="shared" si="9"/>
        <v>-16.523354529297691</v>
      </c>
    </row>
    <row r="80" spans="2:8" x14ac:dyDescent="0.15">
      <c r="G80" s="44">
        <f t="shared" si="10"/>
        <v>0.56000000000000005</v>
      </c>
      <c r="H80" s="44">
        <f t="shared" si="9"/>
        <v>-21.079249481616358</v>
      </c>
    </row>
    <row r="81" spans="2:10" x14ac:dyDescent="0.15">
      <c r="G81" s="44">
        <f t="shared" si="10"/>
        <v>0.6100000000000001</v>
      </c>
      <c r="H81" s="44">
        <f t="shared" si="9"/>
        <v>-25.208487039334287</v>
      </c>
    </row>
    <row r="82" spans="2:10" x14ac:dyDescent="0.15">
      <c r="G82" s="44">
        <f t="shared" ref="G82:G89" si="11">G81+0.05</f>
        <v>0.66000000000000014</v>
      </c>
      <c r="H82" s="44">
        <f t="shared" si="9"/>
        <v>-28.96480682491908</v>
      </c>
    </row>
    <row r="83" spans="2:10" x14ac:dyDescent="0.15">
      <c r="G83" s="44">
        <f t="shared" si="11"/>
        <v>0.71000000000000019</v>
      </c>
      <c r="H83" s="44">
        <f t="shared" si="9"/>
        <v>-32.393652987843922</v>
      </c>
    </row>
    <row r="84" spans="2:10" x14ac:dyDescent="0.15">
      <c r="G84" s="44">
        <f t="shared" si="11"/>
        <v>0.76000000000000023</v>
      </c>
      <c r="H84" s="44">
        <f t="shared" si="9"/>
        <v>-35.533668294515422</v>
      </c>
    </row>
    <row r="85" spans="2:10" x14ac:dyDescent="0.15">
      <c r="G85" s="44">
        <f t="shared" si="11"/>
        <v>0.81000000000000028</v>
      </c>
      <c r="H85" s="44">
        <f t="shared" si="9"/>
        <v>-38.41788368159758</v>
      </c>
    </row>
    <row r="86" spans="2:10" x14ac:dyDescent="0.15">
      <c r="G86" s="44">
        <f t="shared" si="11"/>
        <v>0.86000000000000032</v>
      </c>
      <c r="H86" s="44">
        <f t="shared" si="9"/>
        <v>-41.074672067253736</v>
      </c>
    </row>
    <row r="87" spans="2:10" x14ac:dyDescent="0.15">
      <c r="G87" s="44">
        <f t="shared" si="11"/>
        <v>0.91000000000000036</v>
      </c>
      <c r="H87" s="44">
        <f t="shared" si="9"/>
        <v>-43.528518251844808</v>
      </c>
    </row>
    <row r="88" spans="2:10" x14ac:dyDescent="0.15">
      <c r="G88" s="44">
        <f t="shared" si="11"/>
        <v>0.96000000000000041</v>
      </c>
      <c r="H88" s="44">
        <f t="shared" si="9"/>
        <v>-45.800644289369245</v>
      </c>
    </row>
    <row r="89" spans="2:10" x14ac:dyDescent="0.15">
      <c r="G89" s="44">
        <f t="shared" si="11"/>
        <v>1.0100000000000005</v>
      </c>
      <c r="H89" s="44">
        <f t="shared" si="9"/>
        <v>-47.909520489924354</v>
      </c>
    </row>
    <row r="90" spans="2:10" x14ac:dyDescent="0.15">
      <c r="G90" s="44"/>
      <c r="H90" s="44"/>
    </row>
    <row r="91" spans="2:10" x14ac:dyDescent="0.15">
      <c r="G91" s="44"/>
      <c r="H91" s="44"/>
    </row>
    <row r="92" spans="2:10" x14ac:dyDescent="0.15">
      <c r="B92" s="1" t="s">
        <v>120</v>
      </c>
      <c r="G92" s="44"/>
      <c r="H92" s="44"/>
    </row>
    <row r="93" spans="2:10" x14ac:dyDescent="0.15">
      <c r="G93" s="44"/>
      <c r="H93" s="44"/>
    </row>
    <row r="94" spans="2:10" x14ac:dyDescent="0.15">
      <c r="C94" s="46" t="s">
        <v>54</v>
      </c>
      <c r="G94" s="44">
        <f>G11</f>
        <v>-20</v>
      </c>
      <c r="H94" s="44">
        <f t="shared" ref="H94:J94" si="12">H11</f>
        <v>20</v>
      </c>
      <c r="I94" s="44">
        <f t="shared" si="12"/>
        <v>20</v>
      </c>
      <c r="J94" s="44">
        <f t="shared" si="12"/>
        <v>20</v>
      </c>
    </row>
    <row r="95" spans="2:10" x14ac:dyDescent="0.15">
      <c r="C95" s="46" t="s">
        <v>70</v>
      </c>
      <c r="G95" s="44">
        <f>G94-G7</f>
        <v>80</v>
      </c>
      <c r="H95" s="44">
        <f t="shared" ref="H95:J95" si="13">H94-H7</f>
        <v>-40</v>
      </c>
      <c r="I95" s="44">
        <f t="shared" si="13"/>
        <v>-40</v>
      </c>
      <c r="J95" s="44">
        <f t="shared" si="13"/>
        <v>-40</v>
      </c>
    </row>
    <row r="96" spans="2:10" x14ac:dyDescent="0.15">
      <c r="D96" s="46" t="s">
        <v>121</v>
      </c>
      <c r="G96" s="36">
        <f>IRR(G95:J95)</f>
        <v>0.23375192852825699</v>
      </c>
      <c r="H96" s="44"/>
    </row>
    <row r="97" spans="7:8" x14ac:dyDescent="0.15">
      <c r="G97" s="44"/>
      <c r="H97" s="4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BD58-3BEE-224F-BC18-10934657E50C}">
  <sheetPr codeName="Sheet9"/>
  <dimension ref="B3:AL63"/>
  <sheetViews>
    <sheetView showGridLines="0" zoomScale="170" zoomScaleNormal="170" workbookViewId="0"/>
  </sheetViews>
  <sheetFormatPr baseColWidth="10" defaultRowHeight="13" x14ac:dyDescent="0.15"/>
  <cols>
    <col min="2" max="2" width="12.6640625" bestFit="1" customWidth="1"/>
    <col min="3" max="3" width="9.83203125" bestFit="1" customWidth="1"/>
    <col min="4" max="4" width="7.1640625" bestFit="1" customWidth="1"/>
    <col min="5" max="5" width="15.5" bestFit="1" customWidth="1"/>
    <col min="6" max="6" width="14.5" bestFit="1" customWidth="1"/>
    <col min="9" max="9" width="12.6640625" bestFit="1" customWidth="1"/>
    <col min="10" max="10" width="2.33203125" customWidth="1"/>
    <col min="11" max="11" width="15.5" bestFit="1" customWidth="1"/>
    <col min="12" max="12" width="2.33203125" customWidth="1"/>
    <col min="13" max="13" width="11" bestFit="1" customWidth="1"/>
    <col min="14" max="14" width="1.6640625" customWidth="1"/>
    <col min="16" max="16" width="1.6640625" customWidth="1"/>
    <col min="20" max="24" width="2.83203125" customWidth="1"/>
    <col min="25" max="25" width="5.1640625" customWidth="1"/>
    <col min="26" max="26" width="6.6640625" bestFit="1" customWidth="1"/>
    <col min="27" max="28" width="5.6640625" bestFit="1" customWidth="1"/>
    <col min="29" max="34" width="2.83203125" customWidth="1"/>
    <col min="35" max="35" width="3.1640625" customWidth="1"/>
    <col min="36" max="36" width="5.6640625" bestFit="1" customWidth="1"/>
    <col min="37" max="38" width="4.6640625" bestFit="1" customWidth="1"/>
  </cols>
  <sheetData>
    <row r="3" spans="2:18" x14ac:dyDescent="0.15">
      <c r="B3" s="32" t="s">
        <v>95</v>
      </c>
    </row>
    <row r="4" spans="2:18" x14ac:dyDescent="0.15">
      <c r="B4" s="40" t="s">
        <v>84</v>
      </c>
      <c r="C4" s="40" t="s">
        <v>85</v>
      </c>
      <c r="D4" s="40" t="s">
        <v>55</v>
      </c>
      <c r="I4" t="str">
        <f>B4</f>
        <v>Product</v>
      </c>
      <c r="J4" s="32" t="s">
        <v>79</v>
      </c>
      <c r="K4" t="str">
        <f>C4</f>
        <v>Initial Cost</v>
      </c>
      <c r="L4" s="32" t="s">
        <v>79</v>
      </c>
      <c r="M4" t="str">
        <f>D4</f>
        <v>NPV</v>
      </c>
      <c r="N4" s="43" t="s">
        <v>80</v>
      </c>
    </row>
    <row r="5" spans="2:18" x14ac:dyDescent="0.15">
      <c r="B5" s="32" t="s">
        <v>87</v>
      </c>
      <c r="C5" s="6">
        <v>128</v>
      </c>
      <c r="D5" s="6">
        <v>360</v>
      </c>
      <c r="I5" s="32" t="s">
        <v>78</v>
      </c>
    </row>
    <row r="6" spans="2:18" x14ac:dyDescent="0.15">
      <c r="B6" s="32" t="s">
        <v>88</v>
      </c>
      <c r="C6" s="6">
        <v>74</v>
      </c>
      <c r="D6" s="6">
        <v>59.2</v>
      </c>
      <c r="I6" t="str">
        <f t="shared" ref="I6:I11" si="0">B5</f>
        <v xml:space="preserve">Thermo </v>
      </c>
      <c r="J6" s="32" t="s">
        <v>79</v>
      </c>
      <c r="K6" s="15">
        <f t="shared" ref="K6:K11" si="1">C5</f>
        <v>128</v>
      </c>
      <c r="L6" s="32" t="s">
        <v>79</v>
      </c>
      <c r="M6" s="15">
        <f t="shared" ref="M6:M11" si="2">D5</f>
        <v>360</v>
      </c>
      <c r="N6" s="43" t="s">
        <v>80</v>
      </c>
    </row>
    <row r="7" spans="2:18" x14ac:dyDescent="0.15">
      <c r="B7" s="32" t="s">
        <v>90</v>
      </c>
      <c r="C7" s="6">
        <v>25</v>
      </c>
      <c r="D7" s="6">
        <v>90</v>
      </c>
      <c r="I7" t="str">
        <f t="shared" si="0"/>
        <v>Thermo Rx</v>
      </c>
      <c r="J7" s="32" t="s">
        <v>79</v>
      </c>
      <c r="K7" s="15">
        <f t="shared" si="1"/>
        <v>74</v>
      </c>
      <c r="L7" s="32" t="s">
        <v>79</v>
      </c>
      <c r="M7" s="15">
        <f t="shared" si="2"/>
        <v>59.2</v>
      </c>
      <c r="N7" s="43" t="s">
        <v>80</v>
      </c>
    </row>
    <row r="8" spans="2:18" x14ac:dyDescent="0.15">
      <c r="B8" s="32" t="s">
        <v>89</v>
      </c>
      <c r="C8" s="6">
        <v>206</v>
      </c>
      <c r="D8" s="6">
        <v>247.2</v>
      </c>
      <c r="I8" t="str">
        <f t="shared" si="0"/>
        <v>Thermo Chem</v>
      </c>
      <c r="J8" s="32" t="s">
        <v>79</v>
      </c>
      <c r="K8" s="15">
        <f t="shared" si="1"/>
        <v>25</v>
      </c>
      <c r="L8" s="32" t="s">
        <v>79</v>
      </c>
      <c r="M8" s="15">
        <f t="shared" si="2"/>
        <v>90</v>
      </c>
      <c r="N8" s="43" t="s">
        <v>80</v>
      </c>
    </row>
    <row r="9" spans="2:18" x14ac:dyDescent="0.15">
      <c r="B9" s="32" t="s">
        <v>91</v>
      </c>
      <c r="C9" s="6">
        <v>350</v>
      </c>
      <c r="D9" s="6">
        <v>1365</v>
      </c>
      <c r="I9" t="str">
        <f t="shared" si="0"/>
        <v>SensorView</v>
      </c>
      <c r="J9" s="32" t="s">
        <v>79</v>
      </c>
      <c r="K9" s="15">
        <f t="shared" si="1"/>
        <v>206</v>
      </c>
      <c r="L9" s="32" t="s">
        <v>79</v>
      </c>
      <c r="M9" s="15">
        <f t="shared" si="2"/>
        <v>247.2</v>
      </c>
      <c r="N9" s="43" t="s">
        <v>80</v>
      </c>
    </row>
    <row r="10" spans="2:18" x14ac:dyDescent="0.15">
      <c r="B10" s="54" t="s">
        <v>92</v>
      </c>
      <c r="C10" s="55">
        <v>97</v>
      </c>
      <c r="D10" s="55">
        <v>485</v>
      </c>
      <c r="I10" t="str">
        <f t="shared" si="0"/>
        <v>PressureView</v>
      </c>
      <c r="J10" s="32" t="s">
        <v>79</v>
      </c>
      <c r="K10" s="15">
        <f t="shared" si="1"/>
        <v>350</v>
      </c>
      <c r="L10" s="32" t="s">
        <v>79</v>
      </c>
      <c r="M10" s="15">
        <f t="shared" si="2"/>
        <v>1365</v>
      </c>
      <c r="N10" s="43" t="s">
        <v>80</v>
      </c>
    </row>
    <row r="11" spans="2:18" x14ac:dyDescent="0.15">
      <c r="B11" s="1" t="s">
        <v>93</v>
      </c>
      <c r="C11" s="53">
        <f>SUM(C5:C10)</f>
        <v>880</v>
      </c>
      <c r="D11" s="53">
        <f>SUM(D5:D10)</f>
        <v>2606.4</v>
      </c>
      <c r="I11" t="str">
        <f t="shared" si="0"/>
        <v>PressureView+</v>
      </c>
      <c r="J11" s="32" t="s">
        <v>79</v>
      </c>
      <c r="K11" s="15">
        <f t="shared" si="1"/>
        <v>97</v>
      </c>
      <c r="L11" s="32" t="s">
        <v>79</v>
      </c>
      <c r="M11" s="15">
        <f t="shared" si="2"/>
        <v>485</v>
      </c>
      <c r="N11" s="43" t="s">
        <v>80</v>
      </c>
    </row>
    <row r="12" spans="2:18" x14ac:dyDescent="0.15">
      <c r="I12" s="32" t="s">
        <v>78</v>
      </c>
    </row>
    <row r="13" spans="2:18" x14ac:dyDescent="0.15">
      <c r="I13" s="32" t="s">
        <v>93</v>
      </c>
      <c r="J13" t="s">
        <v>96</v>
      </c>
      <c r="K13" s="41">
        <f>C11</f>
        <v>880</v>
      </c>
      <c r="L13" s="32" t="s">
        <v>79</v>
      </c>
      <c r="M13" s="41">
        <f>D11</f>
        <v>2606.4</v>
      </c>
      <c r="N13" s="43" t="s">
        <v>80</v>
      </c>
    </row>
    <row r="16" spans="2:18" x14ac:dyDescent="0.15">
      <c r="B16" s="40" t="s">
        <v>84</v>
      </c>
      <c r="C16" s="40" t="s">
        <v>85</v>
      </c>
      <c r="D16" s="40" t="s">
        <v>55</v>
      </c>
      <c r="E16" s="40" t="s">
        <v>86</v>
      </c>
      <c r="F16" s="40" t="s">
        <v>94</v>
      </c>
      <c r="I16" t="s">
        <v>84</v>
      </c>
      <c r="J16" s="32" t="s">
        <v>79</v>
      </c>
      <c r="K16" t="s">
        <v>85</v>
      </c>
      <c r="L16" s="32" t="s">
        <v>79</v>
      </c>
      <c r="M16" t="s">
        <v>55</v>
      </c>
      <c r="N16" s="32" t="s">
        <v>79</v>
      </c>
      <c r="O16" t="s">
        <v>86</v>
      </c>
      <c r="P16" s="32" t="s">
        <v>79</v>
      </c>
      <c r="Q16" s="46" t="s">
        <v>97</v>
      </c>
      <c r="R16" s="43" t="s">
        <v>80</v>
      </c>
    </row>
    <row r="17" spans="2:18" x14ac:dyDescent="0.15">
      <c r="B17" s="32" t="s">
        <v>92</v>
      </c>
      <c r="C17" s="6">
        <v>97</v>
      </c>
      <c r="D17" s="6">
        <v>485</v>
      </c>
      <c r="E17" s="19">
        <f t="shared" ref="E17:E22" si="3">D17/C17</f>
        <v>5</v>
      </c>
      <c r="F17" s="15">
        <f>C17</f>
        <v>97</v>
      </c>
      <c r="I17" t="s">
        <v>78</v>
      </c>
    </row>
    <row r="18" spans="2:18" x14ac:dyDescent="0.15">
      <c r="B18" s="32" t="s">
        <v>91</v>
      </c>
      <c r="C18" s="6">
        <v>350</v>
      </c>
      <c r="D18" s="6">
        <v>1365</v>
      </c>
      <c r="E18" s="19">
        <f t="shared" si="3"/>
        <v>3.9</v>
      </c>
      <c r="F18" s="15">
        <f>F17+C18</f>
        <v>447</v>
      </c>
      <c r="I18" t="s">
        <v>92</v>
      </c>
      <c r="J18" s="32" t="s">
        <v>79</v>
      </c>
      <c r="K18" s="15">
        <v>97</v>
      </c>
      <c r="L18" s="32" t="s">
        <v>79</v>
      </c>
      <c r="M18" s="15">
        <v>485</v>
      </c>
      <c r="N18" s="32" t="s">
        <v>79</v>
      </c>
      <c r="O18" s="15">
        <v>5</v>
      </c>
      <c r="P18" s="32" t="s">
        <v>79</v>
      </c>
      <c r="Q18" s="15">
        <v>97</v>
      </c>
      <c r="R18" s="43" t="s">
        <v>80</v>
      </c>
    </row>
    <row r="19" spans="2:18" x14ac:dyDescent="0.15">
      <c r="B19" s="32" t="s">
        <v>90</v>
      </c>
      <c r="C19" s="6">
        <v>25</v>
      </c>
      <c r="D19" s="6">
        <v>90</v>
      </c>
      <c r="E19" s="19">
        <f t="shared" si="3"/>
        <v>3.6</v>
      </c>
      <c r="F19" s="15">
        <f t="shared" ref="F19:F22" si="4">F18+C19</f>
        <v>472</v>
      </c>
      <c r="I19" t="s">
        <v>91</v>
      </c>
      <c r="J19" s="32" t="s">
        <v>79</v>
      </c>
      <c r="K19" s="15">
        <v>350</v>
      </c>
      <c r="L19" s="32" t="s">
        <v>79</v>
      </c>
      <c r="M19" s="15">
        <v>1365</v>
      </c>
      <c r="N19" s="32" t="s">
        <v>79</v>
      </c>
      <c r="O19" s="15">
        <v>3.9</v>
      </c>
      <c r="P19" s="32" t="s">
        <v>79</v>
      </c>
      <c r="Q19" s="15">
        <v>447</v>
      </c>
      <c r="R19" s="43" t="s">
        <v>80</v>
      </c>
    </row>
    <row r="20" spans="2:18" x14ac:dyDescent="0.15">
      <c r="B20" s="32" t="s">
        <v>87</v>
      </c>
      <c r="C20" s="6">
        <v>128</v>
      </c>
      <c r="D20" s="6">
        <v>360</v>
      </c>
      <c r="E20" s="19">
        <f t="shared" si="3"/>
        <v>2.8125</v>
      </c>
      <c r="F20" s="15">
        <f t="shared" si="4"/>
        <v>600</v>
      </c>
      <c r="I20" t="s">
        <v>90</v>
      </c>
      <c r="J20" s="32" t="s">
        <v>79</v>
      </c>
      <c r="K20" s="15">
        <v>25</v>
      </c>
      <c r="L20" s="32" t="s">
        <v>79</v>
      </c>
      <c r="M20" s="15">
        <v>90</v>
      </c>
      <c r="N20" s="32" t="s">
        <v>79</v>
      </c>
      <c r="O20" s="15">
        <v>3.6</v>
      </c>
      <c r="P20" s="32" t="s">
        <v>79</v>
      </c>
      <c r="Q20" s="15">
        <v>472</v>
      </c>
      <c r="R20" s="43" t="s">
        <v>80</v>
      </c>
    </row>
    <row r="21" spans="2:18" x14ac:dyDescent="0.15">
      <c r="B21" s="32" t="s">
        <v>89</v>
      </c>
      <c r="C21" s="6">
        <v>206</v>
      </c>
      <c r="D21" s="6">
        <v>247.2</v>
      </c>
      <c r="E21" s="19">
        <f t="shared" si="3"/>
        <v>1.2</v>
      </c>
      <c r="F21" s="15">
        <f t="shared" si="4"/>
        <v>806</v>
      </c>
      <c r="I21" t="s">
        <v>87</v>
      </c>
      <c r="J21" s="32" t="s">
        <v>79</v>
      </c>
      <c r="K21" s="15">
        <v>128</v>
      </c>
      <c r="L21" s="32" t="s">
        <v>79</v>
      </c>
      <c r="M21" s="15">
        <v>360</v>
      </c>
      <c r="N21" s="32" t="s">
        <v>79</v>
      </c>
      <c r="O21" s="15">
        <v>2.8125</v>
      </c>
      <c r="P21" s="32" t="s">
        <v>79</v>
      </c>
      <c r="Q21" s="15">
        <v>600</v>
      </c>
      <c r="R21" s="43" t="s">
        <v>80</v>
      </c>
    </row>
    <row r="22" spans="2:18" x14ac:dyDescent="0.15">
      <c r="B22" s="32" t="s">
        <v>88</v>
      </c>
      <c r="C22" s="6">
        <v>74</v>
      </c>
      <c r="D22" s="6">
        <v>59.2</v>
      </c>
      <c r="E22" s="19">
        <f t="shared" si="3"/>
        <v>0.8</v>
      </c>
      <c r="F22" s="15">
        <f t="shared" si="4"/>
        <v>880</v>
      </c>
      <c r="I22" t="s">
        <v>89</v>
      </c>
      <c r="J22" s="32" t="s">
        <v>79</v>
      </c>
      <c r="K22" s="15">
        <v>206</v>
      </c>
      <c r="L22" s="32" t="s">
        <v>79</v>
      </c>
      <c r="M22" s="15">
        <v>247.2</v>
      </c>
      <c r="N22" s="32" t="s">
        <v>79</v>
      </c>
      <c r="O22" s="15">
        <v>1.2</v>
      </c>
      <c r="P22" s="32" t="s">
        <v>79</v>
      </c>
      <c r="Q22" s="15">
        <v>806</v>
      </c>
      <c r="R22" s="43" t="s">
        <v>80</v>
      </c>
    </row>
    <row r="23" spans="2:18" x14ac:dyDescent="0.15">
      <c r="I23" t="s">
        <v>88</v>
      </c>
      <c r="J23" s="32" t="s">
        <v>79</v>
      </c>
      <c r="K23" s="15">
        <v>74</v>
      </c>
      <c r="L23" s="32" t="s">
        <v>79</v>
      </c>
      <c r="M23" s="15">
        <v>59.2</v>
      </c>
      <c r="N23" s="32" t="s">
        <v>79</v>
      </c>
      <c r="O23" s="15">
        <v>0.8</v>
      </c>
      <c r="P23" s="32" t="s">
        <v>79</v>
      </c>
      <c r="Q23" s="15">
        <v>880</v>
      </c>
      <c r="R23" s="43" t="s">
        <v>80</v>
      </c>
    </row>
    <row r="24" spans="2:18" x14ac:dyDescent="0.15">
      <c r="I24" s="46" t="s">
        <v>78</v>
      </c>
    </row>
    <row r="25" spans="2:18" x14ac:dyDescent="0.15">
      <c r="R25" s="43"/>
    </row>
    <row r="28" spans="2:18" x14ac:dyDescent="0.15">
      <c r="B28" s="40" t="s">
        <v>84</v>
      </c>
      <c r="C28" s="40" t="s">
        <v>98</v>
      </c>
      <c r="D28" s="40" t="s">
        <v>55</v>
      </c>
      <c r="E28" s="40" t="s">
        <v>86</v>
      </c>
      <c r="F28" s="40" t="s">
        <v>99</v>
      </c>
      <c r="I28" s="40" t="s">
        <v>84</v>
      </c>
      <c r="J28" s="32" t="s">
        <v>79</v>
      </c>
      <c r="K28" s="40" t="s">
        <v>98</v>
      </c>
      <c r="L28" s="32" t="s">
        <v>79</v>
      </c>
      <c r="M28" s="40" t="s">
        <v>55</v>
      </c>
      <c r="N28" s="32" t="s">
        <v>79</v>
      </c>
      <c r="O28" s="40" t="s">
        <v>86</v>
      </c>
      <c r="P28" s="32" t="s">
        <v>79</v>
      </c>
      <c r="Q28" s="40" t="s">
        <v>100</v>
      </c>
      <c r="R28" s="43" t="s">
        <v>80</v>
      </c>
    </row>
    <row r="29" spans="2:18" x14ac:dyDescent="0.15">
      <c r="B29" s="32" t="s">
        <v>89</v>
      </c>
      <c r="C29" s="6">
        <v>2</v>
      </c>
      <c r="D29" s="6">
        <v>247.2</v>
      </c>
      <c r="E29" s="19">
        <f t="shared" ref="E29:E34" si="5">D29/C29</f>
        <v>123.6</v>
      </c>
      <c r="F29" s="15">
        <f>C29</f>
        <v>2</v>
      </c>
      <c r="I29" s="46" t="s">
        <v>78</v>
      </c>
    </row>
    <row r="30" spans="2:18" x14ac:dyDescent="0.15">
      <c r="B30" s="32" t="s">
        <v>87</v>
      </c>
      <c r="C30" s="6">
        <v>3</v>
      </c>
      <c r="D30" s="6">
        <v>360</v>
      </c>
      <c r="E30" s="19">
        <f t="shared" si="5"/>
        <v>120</v>
      </c>
      <c r="F30" s="15">
        <f>F29+C30</f>
        <v>5</v>
      </c>
      <c r="I30" s="32" t="s">
        <v>89</v>
      </c>
      <c r="J30" s="32" t="s">
        <v>79</v>
      </c>
      <c r="K30" s="6">
        <v>2</v>
      </c>
      <c r="L30" s="32" t="s">
        <v>79</v>
      </c>
      <c r="M30" s="6">
        <v>247.2</v>
      </c>
      <c r="N30" s="32" t="s">
        <v>79</v>
      </c>
      <c r="O30" s="19">
        <v>123.6</v>
      </c>
      <c r="P30" s="32" t="s">
        <v>79</v>
      </c>
      <c r="Q30" s="15">
        <v>2</v>
      </c>
      <c r="R30" s="43" t="s">
        <v>80</v>
      </c>
    </row>
    <row r="31" spans="2:18" x14ac:dyDescent="0.15">
      <c r="B31" s="32" t="s">
        <v>91</v>
      </c>
      <c r="C31" s="6">
        <v>12</v>
      </c>
      <c r="D31" s="6">
        <v>1365</v>
      </c>
      <c r="E31" s="19">
        <f t="shared" si="5"/>
        <v>113.75</v>
      </c>
      <c r="F31" s="15">
        <f t="shared" ref="F31:F35" si="6">F30+C31</f>
        <v>17</v>
      </c>
      <c r="I31" s="32" t="s">
        <v>87</v>
      </c>
      <c r="J31" s="32" t="s">
        <v>79</v>
      </c>
      <c r="K31" s="6">
        <v>3</v>
      </c>
      <c r="L31" s="32" t="s">
        <v>79</v>
      </c>
      <c r="M31" s="6">
        <v>360</v>
      </c>
      <c r="N31" s="32" t="s">
        <v>79</v>
      </c>
      <c r="O31" s="19">
        <v>120</v>
      </c>
      <c r="P31" s="32" t="s">
        <v>79</v>
      </c>
      <c r="Q31" s="15">
        <v>5</v>
      </c>
      <c r="R31" s="43" t="s">
        <v>80</v>
      </c>
    </row>
    <row r="32" spans="2:18" x14ac:dyDescent="0.15">
      <c r="B32" s="32" t="s">
        <v>92</v>
      </c>
      <c r="C32" s="6">
        <v>5</v>
      </c>
      <c r="D32" s="6">
        <v>485</v>
      </c>
      <c r="E32" s="19">
        <f t="shared" si="5"/>
        <v>97</v>
      </c>
      <c r="F32" s="15">
        <f t="shared" si="6"/>
        <v>22</v>
      </c>
      <c r="I32" s="32" t="s">
        <v>91</v>
      </c>
      <c r="J32" s="32" t="s">
        <v>79</v>
      </c>
      <c r="K32" s="6">
        <v>12</v>
      </c>
      <c r="L32" s="32" t="s">
        <v>79</v>
      </c>
      <c r="M32" s="6">
        <v>1365</v>
      </c>
      <c r="N32" s="32" t="s">
        <v>79</v>
      </c>
      <c r="O32" s="19">
        <v>113.75</v>
      </c>
      <c r="P32" s="32" t="s">
        <v>79</v>
      </c>
      <c r="Q32" s="15">
        <v>17</v>
      </c>
      <c r="R32" s="43" t="s">
        <v>80</v>
      </c>
    </row>
    <row r="33" spans="2:28" x14ac:dyDescent="0.15">
      <c r="B33" s="32" t="s">
        <v>90</v>
      </c>
      <c r="C33" s="6">
        <v>1</v>
      </c>
      <c r="D33" s="6">
        <v>90</v>
      </c>
      <c r="E33" s="19">
        <f t="shared" si="5"/>
        <v>90</v>
      </c>
      <c r="F33" s="15">
        <f t="shared" si="6"/>
        <v>23</v>
      </c>
      <c r="I33" s="32" t="s">
        <v>92</v>
      </c>
      <c r="J33" s="32" t="s">
        <v>79</v>
      </c>
      <c r="K33" s="6">
        <v>5</v>
      </c>
      <c r="L33" s="32" t="s">
        <v>79</v>
      </c>
      <c r="M33" s="6">
        <v>485</v>
      </c>
      <c r="N33" s="32" t="s">
        <v>79</v>
      </c>
      <c r="O33" s="19">
        <v>97</v>
      </c>
      <c r="P33" s="32" t="s">
        <v>79</v>
      </c>
      <c r="Q33" s="15">
        <v>22</v>
      </c>
      <c r="R33" s="43" t="s">
        <v>80</v>
      </c>
    </row>
    <row r="34" spans="2:28" x14ac:dyDescent="0.15">
      <c r="B34" s="32" t="s">
        <v>88</v>
      </c>
      <c r="C34" s="6">
        <v>1</v>
      </c>
      <c r="D34" s="6">
        <v>59.2</v>
      </c>
      <c r="E34" s="19">
        <f t="shared" si="5"/>
        <v>59.2</v>
      </c>
      <c r="F34" s="15">
        <f t="shared" si="6"/>
        <v>24</v>
      </c>
      <c r="I34" s="32" t="s">
        <v>90</v>
      </c>
      <c r="J34" s="32" t="s">
        <v>79</v>
      </c>
      <c r="K34" s="6">
        <v>1</v>
      </c>
      <c r="L34" s="32" t="s">
        <v>79</v>
      </c>
      <c r="M34" s="6">
        <v>90</v>
      </c>
      <c r="N34" s="32" t="s">
        <v>79</v>
      </c>
      <c r="O34" s="19">
        <v>90</v>
      </c>
      <c r="P34" s="32" t="s">
        <v>79</v>
      </c>
      <c r="Q34" s="15">
        <v>23</v>
      </c>
      <c r="R34" s="43" t="s">
        <v>80</v>
      </c>
    </row>
    <row r="35" spans="2:28" x14ac:dyDescent="0.15">
      <c r="B35" s="46" t="s">
        <v>101</v>
      </c>
      <c r="C35" s="6">
        <v>3</v>
      </c>
      <c r="D35" s="6">
        <v>40</v>
      </c>
      <c r="E35" s="19">
        <f>D35/C35</f>
        <v>13.333333333333334</v>
      </c>
      <c r="F35" s="15">
        <f t="shared" si="6"/>
        <v>27</v>
      </c>
      <c r="I35" s="32" t="s">
        <v>88</v>
      </c>
      <c r="J35" s="32" t="s">
        <v>79</v>
      </c>
      <c r="K35" s="6">
        <v>1</v>
      </c>
      <c r="L35" s="32" t="s">
        <v>79</v>
      </c>
      <c r="M35" s="6">
        <v>59.2</v>
      </c>
      <c r="N35" s="32" t="s">
        <v>79</v>
      </c>
      <c r="O35" s="19">
        <v>59.2</v>
      </c>
      <c r="P35" s="32" t="s">
        <v>79</v>
      </c>
      <c r="Q35" s="15">
        <v>24</v>
      </c>
      <c r="R35" s="43" t="s">
        <v>80</v>
      </c>
    </row>
    <row r="36" spans="2:28" x14ac:dyDescent="0.15">
      <c r="I36" s="46" t="s">
        <v>78</v>
      </c>
    </row>
    <row r="39" spans="2:28" x14ac:dyDescent="0.15">
      <c r="B39" s="46"/>
      <c r="C39" s="6"/>
      <c r="D39" s="6"/>
      <c r="E39" s="19"/>
    </row>
    <row r="41" spans="2:28" x14ac:dyDescent="0.15">
      <c r="T41" s="46"/>
    </row>
    <row r="42" spans="2:28" x14ac:dyDescent="0.15">
      <c r="T42" s="1" t="s">
        <v>137</v>
      </c>
      <c r="Z42" s="40">
        <v>0</v>
      </c>
      <c r="AA42" s="40">
        <v>1</v>
      </c>
      <c r="AB42" s="40">
        <v>2</v>
      </c>
    </row>
    <row r="43" spans="2:28" x14ac:dyDescent="0.15">
      <c r="T43" s="46" t="s">
        <v>57</v>
      </c>
      <c r="Z43" s="15"/>
      <c r="AA43" s="6">
        <v>100</v>
      </c>
      <c r="AB43" s="15">
        <f>AA43</f>
        <v>100</v>
      </c>
    </row>
    <row r="44" spans="2:28" x14ac:dyDescent="0.15">
      <c r="T44" s="46" t="s">
        <v>122</v>
      </c>
      <c r="Z44" s="15"/>
      <c r="AA44" s="6">
        <v>5</v>
      </c>
      <c r="AB44" s="15">
        <f t="shared" ref="AB44:AB46" si="7">AA44</f>
        <v>5</v>
      </c>
    </row>
    <row r="45" spans="2:28" x14ac:dyDescent="0.15">
      <c r="T45" s="46" t="s">
        <v>123</v>
      </c>
      <c r="Z45" s="15"/>
      <c r="AA45" s="15">
        <f>AA44</f>
        <v>5</v>
      </c>
      <c r="AB45" s="15">
        <f t="shared" si="7"/>
        <v>5</v>
      </c>
    </row>
    <row r="46" spans="2:28" x14ac:dyDescent="0.15">
      <c r="T46" s="46" t="s">
        <v>124</v>
      </c>
      <c r="Z46" s="15"/>
      <c r="AA46" s="15">
        <f t="shared" ref="AA46:AA47" si="8">AA45</f>
        <v>5</v>
      </c>
      <c r="AB46" s="15">
        <f t="shared" si="7"/>
        <v>5</v>
      </c>
    </row>
    <row r="47" spans="2:28" x14ac:dyDescent="0.15">
      <c r="T47" s="46" t="s">
        <v>125</v>
      </c>
      <c r="Z47" s="15"/>
      <c r="AA47" s="15">
        <f t="shared" si="8"/>
        <v>5</v>
      </c>
      <c r="AB47" s="15">
        <f>AA47</f>
        <v>5</v>
      </c>
    </row>
    <row r="48" spans="2:28" x14ac:dyDescent="0.15">
      <c r="T48" s="46" t="s">
        <v>126</v>
      </c>
      <c r="Z48" s="15"/>
      <c r="AA48" s="39">
        <f>AA47</f>
        <v>5</v>
      </c>
      <c r="AB48" s="39">
        <f>AA48</f>
        <v>5</v>
      </c>
    </row>
    <row r="49" spans="20:38" x14ac:dyDescent="0.15">
      <c r="U49" s="46" t="s">
        <v>58</v>
      </c>
      <c r="Z49" s="15"/>
      <c r="AA49" s="15">
        <f>AA43-SUM(AA44:AA48)</f>
        <v>75</v>
      </c>
      <c r="AB49" s="15">
        <f>AB43-SUM(AB44:AB48)</f>
        <v>75</v>
      </c>
    </row>
    <row r="50" spans="20:38" x14ac:dyDescent="0.15">
      <c r="T50" s="46" t="s">
        <v>128</v>
      </c>
      <c r="Z50" s="15">
        <v>0.2</v>
      </c>
      <c r="AA50" s="39">
        <f>Z50*AA49</f>
        <v>15</v>
      </c>
      <c r="AB50" s="39">
        <f>Z50*AB49</f>
        <v>15</v>
      </c>
    </row>
    <row r="51" spans="20:38" x14ac:dyDescent="0.15">
      <c r="U51" s="46" t="s">
        <v>59</v>
      </c>
      <c r="Z51" s="15"/>
      <c r="AA51" s="15">
        <f>AA49-AA50</f>
        <v>60</v>
      </c>
      <c r="AB51" s="15">
        <f>AB49-AB50</f>
        <v>60</v>
      </c>
    </row>
    <row r="52" spans="20:38" x14ac:dyDescent="0.15">
      <c r="AA52" s="15"/>
      <c r="AB52" s="15"/>
    </row>
    <row r="53" spans="20:38" x14ac:dyDescent="0.15">
      <c r="T53" s="46" t="s">
        <v>60</v>
      </c>
      <c r="Z53" s="37">
        <v>0.1</v>
      </c>
      <c r="AA53" s="15"/>
      <c r="AB53" s="15"/>
    </row>
    <row r="54" spans="20:38" x14ac:dyDescent="0.15">
      <c r="T54" s="46" t="s">
        <v>55</v>
      </c>
      <c r="Z54" s="44">
        <f>NPV(Z53,AA51:AB51)</f>
        <v>104.13223140495866</v>
      </c>
      <c r="AA54" s="15"/>
      <c r="AB54" s="15"/>
    </row>
    <row r="55" spans="20:38" x14ac:dyDescent="0.15">
      <c r="T55" s="46" t="s">
        <v>127</v>
      </c>
      <c r="Z55" s="44">
        <f>Z54/5</f>
        <v>20.826446280991732</v>
      </c>
      <c r="AA55" s="15"/>
      <c r="AB55" s="15"/>
    </row>
    <row r="56" spans="20:38" x14ac:dyDescent="0.15">
      <c r="AA56" s="15"/>
      <c r="AB56" s="15"/>
    </row>
    <row r="57" spans="20:38" x14ac:dyDescent="0.15">
      <c r="T57" s="1" t="s">
        <v>129</v>
      </c>
      <c r="Z57" s="40">
        <v>0</v>
      </c>
      <c r="AA57" s="40">
        <v>1</v>
      </c>
      <c r="AB57" s="40">
        <v>2</v>
      </c>
      <c r="AD57" s="1" t="s">
        <v>131</v>
      </c>
      <c r="AE57" s="56"/>
      <c r="AF57" s="56"/>
      <c r="AG57" s="15"/>
      <c r="AJ57" s="40">
        <v>0</v>
      </c>
      <c r="AK57" s="40">
        <v>1</v>
      </c>
      <c r="AL57" s="40">
        <v>2</v>
      </c>
    </row>
    <row r="58" spans="20:38" x14ac:dyDescent="0.15">
      <c r="U58" s="46" t="s">
        <v>132</v>
      </c>
      <c r="Z58" s="15"/>
      <c r="AA58" s="15">
        <f>AA48</f>
        <v>5</v>
      </c>
      <c r="AB58" s="15">
        <f>AB48</f>
        <v>5</v>
      </c>
      <c r="AD58" s="46"/>
      <c r="AE58" s="46" t="s">
        <v>57</v>
      </c>
      <c r="AJ58" s="15"/>
      <c r="AK58" s="15">
        <f>AA43/5</f>
        <v>20</v>
      </c>
      <c r="AL58" s="15">
        <f>AB43/5</f>
        <v>20</v>
      </c>
    </row>
    <row r="59" spans="20:38" x14ac:dyDescent="0.15">
      <c r="U59" s="46" t="s">
        <v>133</v>
      </c>
      <c r="Z59" s="15"/>
      <c r="AA59" s="15">
        <f>AA58*$Z$50</f>
        <v>1</v>
      </c>
      <c r="AB59" s="15">
        <f>AB58*$Z$50</f>
        <v>1</v>
      </c>
      <c r="AD59" s="46"/>
      <c r="AE59" s="46" t="s">
        <v>128</v>
      </c>
      <c r="AK59" s="15">
        <f>AK58*$Z$50</f>
        <v>4</v>
      </c>
      <c r="AL59" s="15">
        <f>AL58*$Z$50</f>
        <v>4</v>
      </c>
    </row>
    <row r="60" spans="20:38" x14ac:dyDescent="0.15">
      <c r="V60" s="46" t="s">
        <v>134</v>
      </c>
      <c r="Z60" s="15"/>
      <c r="AA60" s="15">
        <f>AA58-AA59</f>
        <v>4</v>
      </c>
      <c r="AB60" s="15">
        <f>AB58-AB59</f>
        <v>4</v>
      </c>
      <c r="AF60" s="46" t="s">
        <v>135</v>
      </c>
      <c r="AK60" s="15">
        <f>AK58-AK59</f>
        <v>16</v>
      </c>
      <c r="AL60" s="15">
        <f>AL58-AL59</f>
        <v>16</v>
      </c>
    </row>
    <row r="61" spans="20:38" x14ac:dyDescent="0.15">
      <c r="U61" s="46" t="s">
        <v>130</v>
      </c>
      <c r="Z61" s="44">
        <f>NPV(Z53,AA60:AB60)</f>
        <v>6.9421487603305785</v>
      </c>
      <c r="AA61" s="15"/>
      <c r="AB61" s="15"/>
      <c r="AD61" s="46" t="s">
        <v>55</v>
      </c>
      <c r="AJ61" s="44">
        <f>NPV(Z53,AK60:AL60)</f>
        <v>27.768595041322314</v>
      </c>
      <c r="AK61" s="15"/>
      <c r="AL61" s="15"/>
    </row>
    <row r="62" spans="20:38" x14ac:dyDescent="0.15">
      <c r="U62" s="15"/>
      <c r="V62" s="15"/>
      <c r="W62" s="15"/>
      <c r="AA62" s="15"/>
      <c r="AB62" s="15"/>
      <c r="AK62" s="15"/>
      <c r="AL62" s="15"/>
    </row>
    <row r="63" spans="20:38" x14ac:dyDescent="0.15">
      <c r="T63" s="46" t="s">
        <v>136</v>
      </c>
      <c r="Z63" s="44">
        <f>AJ61-Z61</f>
        <v>20.826446280991735</v>
      </c>
      <c r="AA63" t="str">
        <f>IF(ABS(Z63-Z55)&lt;0.00000001,"","ERR")</f>
        <v/>
      </c>
      <c r="AK63" s="15"/>
      <c r="AL63" s="15"/>
    </row>
  </sheetData>
  <sortState xmlns:xlrd2="http://schemas.microsoft.com/office/spreadsheetml/2017/richdata2" ref="B29:F34">
    <sortCondition descending="1" ref="E29:E3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3CA7-F6CF-F84C-9670-C9024C784A7A}">
  <sheetPr codeName="Sheet10"/>
  <dimension ref="B2:T77"/>
  <sheetViews>
    <sheetView showGridLines="0" zoomScale="140" zoomScaleNormal="140" workbookViewId="0"/>
  </sheetViews>
  <sheetFormatPr baseColWidth="10" defaultRowHeight="13" x14ac:dyDescent="0.15"/>
  <cols>
    <col min="1" max="5" width="2.83203125" style="47" customWidth="1"/>
    <col min="6" max="7" width="10.83203125" style="47"/>
    <col min="8" max="13" width="10.83203125" style="47" customWidth="1"/>
    <col min="14" max="16384" width="10.83203125" style="47"/>
  </cols>
  <sheetData>
    <row r="2" spans="2:20" x14ac:dyDescent="0.15">
      <c r="B2" s="47" t="s">
        <v>60</v>
      </c>
      <c r="G2" s="8">
        <v>0.1</v>
      </c>
    </row>
    <row r="5" spans="2:20" x14ac:dyDescent="0.15">
      <c r="B5" s="49" t="s">
        <v>116</v>
      </c>
      <c r="H5" s="48">
        <v>0</v>
      </c>
      <c r="I5" s="48">
        <f t="shared" ref="I5:T5" si="0">H5+1</f>
        <v>1</v>
      </c>
      <c r="J5" s="48">
        <f t="shared" si="0"/>
        <v>2</v>
      </c>
      <c r="K5" s="48">
        <f t="shared" si="0"/>
        <v>3</v>
      </c>
      <c r="L5" s="48">
        <f t="shared" si="0"/>
        <v>4</v>
      </c>
      <c r="M5" s="48">
        <f t="shared" si="0"/>
        <v>5</v>
      </c>
      <c r="N5" s="48">
        <f t="shared" si="0"/>
        <v>6</v>
      </c>
      <c r="O5" s="48">
        <f t="shared" si="0"/>
        <v>7</v>
      </c>
      <c r="P5" s="48">
        <f t="shared" si="0"/>
        <v>8</v>
      </c>
      <c r="Q5" s="48">
        <f t="shared" si="0"/>
        <v>9</v>
      </c>
      <c r="R5" s="48">
        <f t="shared" si="0"/>
        <v>10</v>
      </c>
      <c r="S5" s="48">
        <f t="shared" si="0"/>
        <v>11</v>
      </c>
      <c r="T5" s="48">
        <f t="shared" si="0"/>
        <v>12</v>
      </c>
    </row>
    <row r="6" spans="2:20" x14ac:dyDescent="0.15">
      <c r="H6" s="49"/>
      <c r="I6" s="49"/>
      <c r="J6" s="49"/>
      <c r="K6" s="49"/>
      <c r="L6" s="49"/>
      <c r="M6" s="49"/>
      <c r="N6" s="49"/>
      <c r="O6" s="49"/>
      <c r="P6" s="49"/>
      <c r="Q6" s="49"/>
      <c r="R6" s="49"/>
      <c r="S6" s="49"/>
      <c r="T6" s="49"/>
    </row>
    <row r="7" spans="2:20" x14ac:dyDescent="0.15">
      <c r="B7" s="47" t="s">
        <v>104</v>
      </c>
      <c r="H7" s="49"/>
      <c r="I7" s="49"/>
      <c r="J7" s="49"/>
      <c r="K7" s="49"/>
      <c r="L7" s="49"/>
      <c r="M7" s="49"/>
      <c r="N7" s="49"/>
      <c r="O7" s="49"/>
      <c r="P7" s="49"/>
      <c r="Q7" s="49"/>
      <c r="R7" s="49"/>
      <c r="S7" s="49"/>
      <c r="T7" s="49"/>
    </row>
    <row r="8" spans="2:20" x14ac:dyDescent="0.15">
      <c r="C8" s="47" t="s">
        <v>114</v>
      </c>
      <c r="H8" s="15">
        <v>-800000</v>
      </c>
      <c r="I8" s="15">
        <v>500000</v>
      </c>
      <c r="J8" s="15">
        <v>500000</v>
      </c>
      <c r="K8" s="15">
        <v>500000</v>
      </c>
      <c r="L8" s="15">
        <v>250000</v>
      </c>
    </row>
    <row r="9" spans="2:20" x14ac:dyDescent="0.15">
      <c r="C9" s="47" t="s">
        <v>113</v>
      </c>
      <c r="H9" s="15"/>
      <c r="I9" s="15"/>
      <c r="J9" s="15"/>
      <c r="K9" s="15"/>
      <c r="L9" s="15">
        <v>-800000</v>
      </c>
      <c r="M9" s="15">
        <v>500000</v>
      </c>
      <c r="N9" s="15">
        <v>500000</v>
      </c>
      <c r="O9" s="15">
        <v>500000</v>
      </c>
      <c r="P9" s="15">
        <v>250000</v>
      </c>
    </row>
    <row r="10" spans="2:20" x14ac:dyDescent="0.15">
      <c r="C10" s="47" t="s">
        <v>112</v>
      </c>
      <c r="H10" s="39"/>
      <c r="I10" s="39"/>
      <c r="J10" s="39"/>
      <c r="K10" s="39"/>
      <c r="L10" s="39"/>
      <c r="M10" s="50"/>
      <c r="N10" s="50"/>
      <c r="O10" s="50"/>
      <c r="P10" s="39">
        <v>-800000</v>
      </c>
      <c r="Q10" s="39">
        <v>500000</v>
      </c>
      <c r="R10" s="39">
        <v>500000</v>
      </c>
      <c r="S10" s="39">
        <v>500000</v>
      </c>
      <c r="T10" s="39">
        <v>250000</v>
      </c>
    </row>
    <row r="11" spans="2:20" x14ac:dyDescent="0.15">
      <c r="D11" s="47" t="s">
        <v>93</v>
      </c>
      <c r="H11" s="15">
        <f t="shared" ref="H11:T11" si="1">SUM(H8:H10)</f>
        <v>-800000</v>
      </c>
      <c r="I11" s="15">
        <f t="shared" si="1"/>
        <v>500000</v>
      </c>
      <c r="J11" s="15">
        <f t="shared" si="1"/>
        <v>500000</v>
      </c>
      <c r="K11" s="15">
        <f t="shared" si="1"/>
        <v>500000</v>
      </c>
      <c r="L11" s="15">
        <f t="shared" si="1"/>
        <v>-550000</v>
      </c>
      <c r="M11" s="15">
        <f t="shared" si="1"/>
        <v>500000</v>
      </c>
      <c r="N11" s="15">
        <f t="shared" si="1"/>
        <v>500000</v>
      </c>
      <c r="O11" s="15">
        <f t="shared" si="1"/>
        <v>500000</v>
      </c>
      <c r="P11" s="15">
        <f t="shared" si="1"/>
        <v>-550000</v>
      </c>
      <c r="Q11" s="15">
        <f t="shared" si="1"/>
        <v>500000</v>
      </c>
      <c r="R11" s="15">
        <f t="shared" si="1"/>
        <v>500000</v>
      </c>
      <c r="S11" s="15">
        <f t="shared" si="1"/>
        <v>500000</v>
      </c>
      <c r="T11" s="15">
        <f t="shared" si="1"/>
        <v>250000</v>
      </c>
    </row>
    <row r="12" spans="2:20" x14ac:dyDescent="0.15">
      <c r="I12" s="15"/>
      <c r="J12" s="15"/>
      <c r="K12" s="15"/>
      <c r="L12" s="15"/>
    </row>
    <row r="13" spans="2:20" x14ac:dyDescent="0.15">
      <c r="C13" s="47" t="s">
        <v>110</v>
      </c>
      <c r="H13" s="44">
        <f>H11+NPV(G2,I11:T11)</f>
        <v>1320191.3296670811</v>
      </c>
      <c r="I13" s="15">
        <f>H16/$G$2*(1-(1+$G$2)^(-12))</f>
        <v>1320191.3296670821</v>
      </c>
      <c r="J13" s="15"/>
      <c r="K13" s="15"/>
      <c r="L13" s="15"/>
    </row>
    <row r="14" spans="2:20" x14ac:dyDescent="0.15">
      <c r="C14" s="47" t="s">
        <v>109</v>
      </c>
      <c r="H14" s="44">
        <f>H8+NPV(G2,I8:L8)</f>
        <v>614179.35933337873</v>
      </c>
      <c r="I14" s="15"/>
      <c r="J14" s="15"/>
      <c r="K14" s="15"/>
      <c r="L14" s="15"/>
    </row>
    <row r="15" spans="2:20" x14ac:dyDescent="0.15">
      <c r="C15" s="47" t="s">
        <v>108</v>
      </c>
      <c r="H15" s="5">
        <v>4</v>
      </c>
      <c r="I15" s="15"/>
      <c r="J15" s="15"/>
      <c r="K15" s="15"/>
      <c r="L15" s="15"/>
    </row>
    <row r="16" spans="2:20" x14ac:dyDescent="0.15">
      <c r="C16" s="47" t="s">
        <v>107</v>
      </c>
      <c r="H16" s="44">
        <f>H14*G2/(1-(1+G2)^(-H15))</f>
        <v>193755.65610859715</v>
      </c>
      <c r="I16" s="15">
        <f>H16/$G$2*(1-(1+$G$2)^(-H15))</f>
        <v>614179.35933337873</v>
      </c>
      <c r="J16" s="15"/>
      <c r="K16" s="15"/>
      <c r="L16" s="15"/>
    </row>
    <row r="17" spans="2:20" x14ac:dyDescent="0.15">
      <c r="D17" s="47" t="s">
        <v>138</v>
      </c>
      <c r="H17" s="44">
        <f>H16/G2*(1-(1+G2)^(-12))</f>
        <v>1320191.3296670821</v>
      </c>
      <c r="I17" s="15"/>
      <c r="J17" s="15"/>
      <c r="K17" s="15"/>
      <c r="L17" s="15"/>
    </row>
    <row r="18" spans="2:20" x14ac:dyDescent="0.15">
      <c r="C18" s="47" t="s">
        <v>106</v>
      </c>
      <c r="H18" s="44">
        <f>H16/G2</f>
        <v>1937556.5610859713</v>
      </c>
      <c r="I18" s="15"/>
      <c r="J18" s="15"/>
      <c r="K18" s="15"/>
      <c r="L18" s="15"/>
    </row>
    <row r="19" spans="2:20" x14ac:dyDescent="0.15">
      <c r="H19" s="15"/>
      <c r="I19" s="15"/>
      <c r="J19" s="15"/>
      <c r="K19" s="15"/>
      <c r="L19" s="15"/>
    </row>
    <row r="20" spans="2:20" x14ac:dyDescent="0.15">
      <c r="I20" s="15"/>
      <c r="J20" s="15"/>
      <c r="K20" s="15"/>
      <c r="L20" s="15"/>
    </row>
    <row r="21" spans="2:20" x14ac:dyDescent="0.15">
      <c r="B21" s="49" t="s">
        <v>115</v>
      </c>
      <c r="H21" s="48">
        <v>0</v>
      </c>
      <c r="I21" s="48">
        <f t="shared" ref="I21:T21" si="2">H21+1</f>
        <v>1</v>
      </c>
      <c r="J21" s="48">
        <f t="shared" si="2"/>
        <v>2</v>
      </c>
      <c r="K21" s="48">
        <f t="shared" si="2"/>
        <v>3</v>
      </c>
      <c r="L21" s="48">
        <f t="shared" si="2"/>
        <v>4</v>
      </c>
      <c r="M21" s="48">
        <f t="shared" si="2"/>
        <v>5</v>
      </c>
      <c r="N21" s="48">
        <f t="shared" si="2"/>
        <v>6</v>
      </c>
      <c r="O21" s="48">
        <f t="shared" si="2"/>
        <v>7</v>
      </c>
      <c r="P21" s="48">
        <f t="shared" si="2"/>
        <v>8</v>
      </c>
      <c r="Q21" s="48">
        <f t="shared" si="2"/>
        <v>9</v>
      </c>
      <c r="R21" s="48">
        <f t="shared" si="2"/>
        <v>10</v>
      </c>
      <c r="S21" s="48">
        <f t="shared" si="2"/>
        <v>11</v>
      </c>
      <c r="T21" s="48">
        <f t="shared" si="2"/>
        <v>12</v>
      </c>
    </row>
    <row r="22" spans="2:20" x14ac:dyDescent="0.15">
      <c r="H22" s="49"/>
      <c r="I22" s="49"/>
      <c r="J22" s="49"/>
      <c r="K22" s="49"/>
      <c r="L22" s="49"/>
      <c r="M22" s="49"/>
      <c r="N22" s="49"/>
      <c r="O22" s="49"/>
      <c r="P22" s="49"/>
      <c r="Q22" s="49"/>
      <c r="R22" s="49"/>
      <c r="S22" s="49"/>
      <c r="T22" s="49"/>
    </row>
    <row r="23" spans="2:20" x14ac:dyDescent="0.15">
      <c r="B23" s="47" t="s">
        <v>104</v>
      </c>
      <c r="H23" s="49"/>
      <c r="I23" s="49"/>
      <c r="J23" s="49"/>
      <c r="K23" s="49"/>
      <c r="L23" s="49"/>
      <c r="M23" s="49"/>
      <c r="N23" s="49"/>
      <c r="O23" s="49"/>
      <c r="P23" s="49"/>
      <c r="Q23" s="49"/>
      <c r="R23" s="49"/>
      <c r="S23" s="49"/>
      <c r="T23" s="49"/>
    </row>
    <row r="24" spans="2:20" x14ac:dyDescent="0.15">
      <c r="C24" s="47" t="s">
        <v>114</v>
      </c>
      <c r="H24" s="15">
        <v>-1000000</v>
      </c>
      <c r="I24" s="15">
        <v>600000</v>
      </c>
      <c r="J24" s="15">
        <v>600000</v>
      </c>
      <c r="K24" s="15">
        <v>600000</v>
      </c>
      <c r="L24" s="15"/>
    </row>
    <row r="25" spans="2:20" x14ac:dyDescent="0.15">
      <c r="C25" s="47" t="s">
        <v>113</v>
      </c>
      <c r="H25" s="15"/>
      <c r="I25" s="15"/>
      <c r="J25" s="15"/>
      <c r="K25" s="15">
        <v>-1000000</v>
      </c>
      <c r="L25" s="15">
        <v>600000</v>
      </c>
      <c r="M25" s="15">
        <v>600000</v>
      </c>
      <c r="N25" s="15">
        <v>600000</v>
      </c>
      <c r="O25" s="15"/>
      <c r="P25" s="15"/>
    </row>
    <row r="26" spans="2:20" x14ac:dyDescent="0.15">
      <c r="C26" s="47" t="s">
        <v>112</v>
      </c>
      <c r="H26" s="15"/>
      <c r="I26" s="15"/>
      <c r="J26" s="15"/>
      <c r="K26" s="15"/>
      <c r="L26" s="15"/>
      <c r="N26" s="15">
        <v>-1000000</v>
      </c>
      <c r="O26" s="15">
        <v>600000</v>
      </c>
      <c r="P26" s="15">
        <v>600000</v>
      </c>
      <c r="Q26" s="15">
        <v>600000</v>
      </c>
      <c r="R26" s="15"/>
      <c r="S26" s="15"/>
      <c r="T26" s="15"/>
    </row>
    <row r="27" spans="2:20" x14ac:dyDescent="0.15">
      <c r="C27" s="47" t="s">
        <v>111</v>
      </c>
      <c r="H27" s="39"/>
      <c r="I27" s="39"/>
      <c r="J27" s="39"/>
      <c r="K27" s="39"/>
      <c r="L27" s="39"/>
      <c r="M27" s="50"/>
      <c r="N27" s="50"/>
      <c r="O27" s="50"/>
      <c r="P27" s="39"/>
      <c r="Q27" s="39">
        <v>-1000000</v>
      </c>
      <c r="R27" s="39">
        <v>600000</v>
      </c>
      <c r="S27" s="39">
        <v>600000</v>
      </c>
      <c r="T27" s="39">
        <v>600000</v>
      </c>
    </row>
    <row r="28" spans="2:20" x14ac:dyDescent="0.15">
      <c r="D28" s="47" t="s">
        <v>93</v>
      </c>
      <c r="H28" s="15">
        <f t="shared" ref="H28:T28" si="3">SUM(H24:H27)</f>
        <v>-1000000</v>
      </c>
      <c r="I28" s="15">
        <f t="shared" si="3"/>
        <v>600000</v>
      </c>
      <c r="J28" s="15">
        <f t="shared" si="3"/>
        <v>600000</v>
      </c>
      <c r="K28" s="15">
        <f t="shared" si="3"/>
        <v>-400000</v>
      </c>
      <c r="L28" s="15">
        <f t="shared" si="3"/>
        <v>600000</v>
      </c>
      <c r="M28" s="15">
        <f t="shared" si="3"/>
        <v>600000</v>
      </c>
      <c r="N28" s="15">
        <f t="shared" si="3"/>
        <v>-400000</v>
      </c>
      <c r="O28" s="15">
        <f t="shared" si="3"/>
        <v>600000</v>
      </c>
      <c r="P28" s="15">
        <f t="shared" si="3"/>
        <v>600000</v>
      </c>
      <c r="Q28" s="15">
        <f t="shared" si="3"/>
        <v>-400000</v>
      </c>
      <c r="R28" s="15">
        <f t="shared" si="3"/>
        <v>600000</v>
      </c>
      <c r="S28" s="15">
        <f t="shared" si="3"/>
        <v>600000</v>
      </c>
      <c r="T28" s="15">
        <f t="shared" si="3"/>
        <v>600000</v>
      </c>
    </row>
    <row r="29" spans="2:20" x14ac:dyDescent="0.15">
      <c r="I29" s="15"/>
      <c r="J29" s="15"/>
      <c r="K29" s="15"/>
      <c r="L29" s="15"/>
    </row>
    <row r="30" spans="2:20" x14ac:dyDescent="0.15">
      <c r="C30" s="47" t="s">
        <v>110</v>
      </c>
      <c r="H30" s="44">
        <f>H28+NPV(G2,I28:T28)</f>
        <v>1348328.7444100175</v>
      </c>
      <c r="I30" s="15">
        <f>H33/$G$2*(1-(1+$G$2)^(-12))</f>
        <v>1348328.7444100177</v>
      </c>
      <c r="J30" s="15"/>
      <c r="K30" s="15"/>
      <c r="L30" s="15"/>
    </row>
    <row r="31" spans="2:20" x14ac:dyDescent="0.15">
      <c r="C31" s="47" t="s">
        <v>109</v>
      </c>
      <c r="H31" s="44">
        <f>H24+NPV(G2,I24:K24)</f>
        <v>492111.19459053315</v>
      </c>
      <c r="I31" s="15"/>
      <c r="J31" s="15"/>
      <c r="K31" s="15"/>
      <c r="L31" s="15"/>
    </row>
    <row r="32" spans="2:20" x14ac:dyDescent="0.15">
      <c r="C32" s="47" t="s">
        <v>108</v>
      </c>
      <c r="H32" s="5">
        <v>3</v>
      </c>
      <c r="I32" s="15"/>
      <c r="J32" s="15"/>
      <c r="K32" s="15"/>
      <c r="L32" s="15"/>
    </row>
    <row r="33" spans="2:20" x14ac:dyDescent="0.15">
      <c r="C33" s="47" t="s">
        <v>107</v>
      </c>
      <c r="H33" s="44">
        <f>H31*G2/(1-(1+G2)^(-H32))</f>
        <v>197885.19637462209</v>
      </c>
      <c r="I33" s="15">
        <f>H33/$G$2*(1-(1+$G$2)^(-H32))</f>
        <v>492111.19459053321</v>
      </c>
      <c r="J33" s="15"/>
      <c r="K33" s="15"/>
      <c r="L33" s="15"/>
    </row>
    <row r="34" spans="2:20" x14ac:dyDescent="0.15">
      <c r="D34" s="47" t="s">
        <v>138</v>
      </c>
      <c r="H34" s="44">
        <f>H33/G2*(1-(1+G2)^(-12))</f>
        <v>1348328.7444100177</v>
      </c>
      <c r="I34" s="15"/>
      <c r="J34" s="15"/>
      <c r="K34" s="15"/>
      <c r="L34" s="15"/>
    </row>
    <row r="35" spans="2:20" x14ac:dyDescent="0.15">
      <c r="C35" s="47" t="s">
        <v>106</v>
      </c>
      <c r="H35" s="44">
        <f>H33/G2</f>
        <v>1978851.9637462208</v>
      </c>
      <c r="I35" s="15"/>
      <c r="J35" s="15"/>
      <c r="K35" s="15"/>
      <c r="L35" s="15"/>
    </row>
    <row r="36" spans="2:20" x14ac:dyDescent="0.15">
      <c r="H36" s="15"/>
      <c r="I36" s="15"/>
      <c r="J36" s="15"/>
      <c r="K36" s="15"/>
      <c r="L36" s="15"/>
    </row>
    <row r="37" spans="2:20" x14ac:dyDescent="0.15">
      <c r="H37" s="15"/>
      <c r="I37" s="15"/>
      <c r="J37" s="15"/>
      <c r="K37" s="15"/>
      <c r="L37" s="15"/>
    </row>
    <row r="38" spans="2:20" x14ac:dyDescent="0.15">
      <c r="B38" s="49" t="s">
        <v>105</v>
      </c>
      <c r="H38" s="48">
        <v>0</v>
      </c>
      <c r="I38" s="48">
        <f>H38+1</f>
        <v>1</v>
      </c>
      <c r="J38" s="48">
        <f>I38+1</f>
        <v>2</v>
      </c>
      <c r="K38" s="48">
        <f>J38+1</f>
        <v>3</v>
      </c>
      <c r="L38" s="48">
        <f>K38+1</f>
        <v>4</v>
      </c>
    </row>
    <row r="39" spans="2:20" x14ac:dyDescent="0.15">
      <c r="L39" s="15"/>
    </row>
    <row r="40" spans="2:20" x14ac:dyDescent="0.15">
      <c r="C40" s="47" t="s">
        <v>104</v>
      </c>
      <c r="I40" s="15">
        <v>500000</v>
      </c>
      <c r="J40" s="15">
        <v>200000</v>
      </c>
      <c r="K40" s="15">
        <v>100000</v>
      </c>
      <c r="L40" s="47">
        <v>0</v>
      </c>
    </row>
    <row r="42" spans="2:20" x14ac:dyDescent="0.15">
      <c r="C42" s="47" t="s">
        <v>103</v>
      </c>
    </row>
    <row r="44" spans="2:20" x14ac:dyDescent="0.15">
      <c r="H44" s="57"/>
      <c r="I44" s="57"/>
      <c r="J44" s="57"/>
      <c r="K44" s="57"/>
      <c r="L44" s="57"/>
      <c r="M44" s="57"/>
      <c r="N44" s="57"/>
      <c r="O44" s="57"/>
      <c r="P44" s="57"/>
      <c r="Q44" s="57"/>
      <c r="R44" s="57"/>
      <c r="S44" s="57"/>
      <c r="T44" s="57"/>
    </row>
    <row r="45" spans="2:20" x14ac:dyDescent="0.15">
      <c r="C45" s="49" t="s">
        <v>139</v>
      </c>
      <c r="H45" s="48">
        <v>0</v>
      </c>
      <c r="I45" s="48">
        <f t="shared" ref="I45" si="4">H45+1</f>
        <v>1</v>
      </c>
      <c r="J45" s="48">
        <f t="shared" ref="J45" si="5">I45+1</f>
        <v>2</v>
      </c>
      <c r="K45" s="48">
        <f t="shared" ref="K45" si="6">J45+1</f>
        <v>3</v>
      </c>
      <c r="L45" s="48">
        <f t="shared" ref="L45" si="7">K45+1</f>
        <v>4</v>
      </c>
      <c r="M45" s="57"/>
      <c r="N45" s="57"/>
      <c r="O45" s="57"/>
      <c r="P45" s="57"/>
      <c r="Q45" s="57"/>
      <c r="R45" s="57"/>
      <c r="S45" s="57"/>
      <c r="T45" s="57"/>
    </row>
    <row r="46" spans="2:20" x14ac:dyDescent="0.15">
      <c r="C46" s="49"/>
      <c r="H46" s="49"/>
      <c r="I46" s="49"/>
      <c r="J46" s="49"/>
      <c r="K46" s="49"/>
      <c r="L46" s="49"/>
      <c r="M46" s="57"/>
      <c r="N46" s="57"/>
      <c r="O46" s="57"/>
      <c r="P46" s="57"/>
      <c r="Q46" s="57"/>
      <c r="R46" s="57"/>
      <c r="S46" s="57"/>
      <c r="T46" s="57"/>
    </row>
    <row r="47" spans="2:20" x14ac:dyDescent="0.15">
      <c r="C47" s="49"/>
      <c r="D47" s="47" t="s">
        <v>141</v>
      </c>
      <c r="H47" s="47">
        <f>H40</f>
        <v>0</v>
      </c>
      <c r="I47" s="57"/>
      <c r="J47" s="49"/>
      <c r="K47" s="49"/>
      <c r="L47" s="49"/>
      <c r="M47" s="57"/>
      <c r="N47" s="57"/>
      <c r="O47" s="57"/>
      <c r="P47" s="57"/>
      <c r="Q47" s="57"/>
      <c r="R47" s="57"/>
      <c r="S47" s="57"/>
      <c r="T47" s="57"/>
    </row>
    <row r="48" spans="2:20" x14ac:dyDescent="0.15">
      <c r="C48" s="49"/>
      <c r="E48" s="47" t="s">
        <v>145</v>
      </c>
      <c r="H48" s="57">
        <f>H47</f>
        <v>0</v>
      </c>
      <c r="I48" s="57"/>
      <c r="K48" s="49"/>
      <c r="L48" s="49"/>
      <c r="M48" s="57"/>
      <c r="N48" s="57"/>
      <c r="O48" s="57"/>
      <c r="P48" s="57"/>
      <c r="Q48" s="57"/>
      <c r="R48" s="57"/>
      <c r="S48" s="57"/>
      <c r="T48" s="57"/>
    </row>
    <row r="49" spans="3:20" x14ac:dyDescent="0.15">
      <c r="C49" s="49"/>
      <c r="D49" s="47" t="s">
        <v>144</v>
      </c>
      <c r="H49" s="57"/>
      <c r="I49" s="57">
        <f>H33</f>
        <v>197885.19637462209</v>
      </c>
      <c r="J49" s="57"/>
      <c r="K49" s="49"/>
      <c r="L49" s="49"/>
      <c r="M49" s="57"/>
      <c r="N49" s="57"/>
      <c r="O49" s="57"/>
      <c r="P49" s="57"/>
      <c r="Q49" s="57"/>
      <c r="R49" s="57"/>
      <c r="S49" s="57"/>
      <c r="T49" s="57"/>
    </row>
    <row r="50" spans="3:20" x14ac:dyDescent="0.15">
      <c r="C50" s="49"/>
      <c r="E50" s="47" t="s">
        <v>146</v>
      </c>
      <c r="H50" s="57">
        <f>I49/$G$2</f>
        <v>1978851.9637462208</v>
      </c>
      <c r="I50" s="57"/>
      <c r="J50" s="49"/>
      <c r="K50" s="49"/>
      <c r="L50" s="49"/>
      <c r="M50" s="57"/>
      <c r="N50" s="57"/>
      <c r="O50" s="57"/>
      <c r="P50" s="57"/>
      <c r="Q50" s="57"/>
      <c r="R50" s="57"/>
      <c r="S50" s="57"/>
      <c r="T50" s="57"/>
    </row>
    <row r="51" spans="3:20" x14ac:dyDescent="0.15">
      <c r="C51" s="49"/>
      <c r="D51" s="47" t="s">
        <v>55</v>
      </c>
      <c r="H51" s="57">
        <f>SUM(H48:H50)</f>
        <v>1978851.9637462208</v>
      </c>
      <c r="I51" s="57"/>
      <c r="J51" s="49"/>
      <c r="K51" s="49"/>
      <c r="L51" s="49"/>
      <c r="M51" s="57"/>
      <c r="N51" s="57"/>
      <c r="O51" s="57"/>
      <c r="P51" s="57"/>
      <c r="Q51" s="57"/>
      <c r="R51" s="57"/>
      <c r="S51" s="57"/>
      <c r="T51" s="57"/>
    </row>
    <row r="52" spans="3:20" x14ac:dyDescent="0.15">
      <c r="H52" s="57"/>
    </row>
    <row r="53" spans="3:20" x14ac:dyDescent="0.15">
      <c r="C53" s="49" t="s">
        <v>140</v>
      </c>
      <c r="H53" s="48">
        <v>0</v>
      </c>
      <c r="I53" s="48">
        <f t="shared" ref="I53" si="8">H53+1</f>
        <v>1</v>
      </c>
      <c r="J53" s="48">
        <f t="shared" ref="J53" si="9">I53+1</f>
        <v>2</v>
      </c>
      <c r="K53" s="48">
        <f t="shared" ref="K53:L53" si="10">J53+1</f>
        <v>3</v>
      </c>
      <c r="L53" s="48">
        <f t="shared" si="10"/>
        <v>4</v>
      </c>
    </row>
    <row r="54" spans="3:20" x14ac:dyDescent="0.15">
      <c r="C54" s="49"/>
      <c r="H54" s="49"/>
      <c r="I54" s="49"/>
      <c r="J54" s="49"/>
      <c r="K54" s="49"/>
      <c r="L54" s="49"/>
    </row>
    <row r="55" spans="3:20" x14ac:dyDescent="0.15">
      <c r="C55" s="49"/>
      <c r="D55" s="47" t="s">
        <v>141</v>
      </c>
      <c r="H55" s="49"/>
      <c r="I55" s="57">
        <f>I40</f>
        <v>500000</v>
      </c>
      <c r="J55" s="49"/>
      <c r="K55" s="49"/>
      <c r="L55" s="49"/>
    </row>
    <row r="56" spans="3:20" x14ac:dyDescent="0.15">
      <c r="C56" s="49"/>
      <c r="E56" s="47" t="s">
        <v>145</v>
      </c>
      <c r="H56" s="57">
        <f>I55/(1+$G$2)</f>
        <v>454545.45454545453</v>
      </c>
      <c r="I56" s="57"/>
      <c r="K56" s="49"/>
      <c r="L56" s="49"/>
    </row>
    <row r="57" spans="3:20" x14ac:dyDescent="0.15">
      <c r="C57" s="49"/>
      <c r="D57" s="47" t="s">
        <v>144</v>
      </c>
      <c r="H57" s="57"/>
      <c r="I57" s="57"/>
      <c r="J57" s="57">
        <f>H33</f>
        <v>197885.19637462209</v>
      </c>
      <c r="K57" s="49"/>
      <c r="L57" s="49"/>
    </row>
    <row r="58" spans="3:20" x14ac:dyDescent="0.15">
      <c r="C58" s="49"/>
      <c r="E58" s="47" t="s">
        <v>146</v>
      </c>
      <c r="H58" s="57">
        <f>J57/$G$2*(1+$G$2)^(-1)</f>
        <v>1798956.3306783824</v>
      </c>
      <c r="I58" s="57"/>
      <c r="J58" s="49"/>
      <c r="K58" s="49"/>
      <c r="L58" s="49"/>
    </row>
    <row r="59" spans="3:20" x14ac:dyDescent="0.15">
      <c r="C59" s="49"/>
      <c r="D59" s="47" t="s">
        <v>55</v>
      </c>
      <c r="H59" s="57">
        <f>SUM(H56:H58)</f>
        <v>2253501.785223837</v>
      </c>
      <c r="I59" s="57"/>
      <c r="J59" s="49"/>
      <c r="K59" s="49"/>
      <c r="L59" s="49"/>
    </row>
    <row r="60" spans="3:20" x14ac:dyDescent="0.15">
      <c r="C60" s="49"/>
      <c r="H60" s="57"/>
      <c r="I60" s="57"/>
      <c r="J60" s="49"/>
      <c r="K60" s="49"/>
      <c r="L60" s="49"/>
    </row>
    <row r="61" spans="3:20" x14ac:dyDescent="0.15">
      <c r="C61" s="49" t="s">
        <v>142</v>
      </c>
      <c r="H61" s="48">
        <v>0</v>
      </c>
      <c r="I61" s="48">
        <f t="shared" ref="I61" si="11">H61+1</f>
        <v>1</v>
      </c>
      <c r="J61" s="48">
        <f t="shared" ref="J61" si="12">I61+1</f>
        <v>2</v>
      </c>
      <c r="K61" s="48">
        <f t="shared" ref="K61" si="13">J61+1</f>
        <v>3</v>
      </c>
      <c r="L61" s="48">
        <f t="shared" ref="L61" si="14">K61+1</f>
        <v>4</v>
      </c>
    </row>
    <row r="62" spans="3:20" x14ac:dyDescent="0.15">
      <c r="C62" s="49"/>
      <c r="H62" s="49"/>
      <c r="I62" s="49"/>
      <c r="J62" s="49"/>
      <c r="K62" s="49"/>
      <c r="L62" s="49"/>
    </row>
    <row r="63" spans="3:20" x14ac:dyDescent="0.15">
      <c r="C63" s="49"/>
      <c r="D63" s="47" t="s">
        <v>141</v>
      </c>
      <c r="H63" s="49"/>
      <c r="I63" s="57">
        <f>I40</f>
        <v>500000</v>
      </c>
      <c r="J63" s="57">
        <f>J40</f>
        <v>200000</v>
      </c>
      <c r="K63" s="49"/>
      <c r="L63" s="49"/>
    </row>
    <row r="64" spans="3:20" x14ac:dyDescent="0.15">
      <c r="C64" s="49"/>
      <c r="E64" s="47" t="s">
        <v>145</v>
      </c>
      <c r="H64" s="57">
        <f>NPV($G$2,I63:J63)</f>
        <v>619834.71074380155</v>
      </c>
      <c r="I64" s="57"/>
      <c r="K64" s="49"/>
      <c r="L64" s="49"/>
    </row>
    <row r="65" spans="3:12" x14ac:dyDescent="0.15">
      <c r="C65" s="49"/>
      <c r="D65" s="47" t="s">
        <v>144</v>
      </c>
      <c r="H65" s="57"/>
      <c r="I65" s="57"/>
      <c r="J65" s="57"/>
      <c r="K65" s="57">
        <f>H33</f>
        <v>197885.19637462209</v>
      </c>
      <c r="L65" s="49"/>
    </row>
    <row r="66" spans="3:12" x14ac:dyDescent="0.15">
      <c r="C66" s="49"/>
      <c r="E66" s="47" t="s">
        <v>146</v>
      </c>
      <c r="H66" s="57">
        <f>K65/$G$2*(1+$G$2)^(-2)</f>
        <v>1635414.8460712568</v>
      </c>
      <c r="I66" s="57"/>
      <c r="J66" s="49"/>
      <c r="K66" s="49"/>
      <c r="L66" s="49"/>
    </row>
    <row r="67" spans="3:12" x14ac:dyDescent="0.15">
      <c r="C67" s="49"/>
      <c r="D67" s="47" t="s">
        <v>55</v>
      </c>
      <c r="H67" s="57">
        <f>SUM(H64:H66)</f>
        <v>2255249.5568150585</v>
      </c>
      <c r="I67" s="57"/>
      <c r="J67" s="49"/>
      <c r="K67" s="49"/>
      <c r="L67" s="49"/>
    </row>
    <row r="68" spans="3:12" x14ac:dyDescent="0.15">
      <c r="C68" s="49"/>
      <c r="H68" s="57"/>
      <c r="I68" s="57"/>
      <c r="J68" s="49"/>
      <c r="K68" s="49"/>
      <c r="L68" s="49"/>
    </row>
    <row r="69" spans="3:12" x14ac:dyDescent="0.15">
      <c r="C69" s="49" t="s">
        <v>143</v>
      </c>
      <c r="H69" s="48">
        <v>0</v>
      </c>
      <c r="I69" s="48">
        <f t="shared" ref="I69" si="15">H69+1</f>
        <v>1</v>
      </c>
      <c r="J69" s="48">
        <f t="shared" ref="J69" si="16">I69+1</f>
        <v>2</v>
      </c>
      <c r="K69" s="48">
        <f t="shared" ref="K69" si="17">J69+1</f>
        <v>3</v>
      </c>
      <c r="L69" s="48">
        <f t="shared" ref="L69" si="18">K69+1</f>
        <v>4</v>
      </c>
    </row>
    <row r="70" spans="3:12" x14ac:dyDescent="0.15">
      <c r="C70" s="49"/>
      <c r="H70" s="49"/>
      <c r="I70" s="49"/>
      <c r="J70" s="49"/>
      <c r="K70" s="49"/>
      <c r="L70" s="49"/>
    </row>
    <row r="71" spans="3:12" x14ac:dyDescent="0.15">
      <c r="C71" s="49"/>
      <c r="D71" s="47" t="s">
        <v>141</v>
      </c>
      <c r="H71" s="49"/>
      <c r="I71" s="57">
        <f>I40</f>
        <v>500000</v>
      </c>
      <c r="J71" s="57">
        <f t="shared" ref="J71:K71" si="19">J40</f>
        <v>200000</v>
      </c>
      <c r="K71" s="57">
        <f t="shared" si="19"/>
        <v>100000</v>
      </c>
      <c r="L71" s="49"/>
    </row>
    <row r="72" spans="3:12" x14ac:dyDescent="0.15">
      <c r="C72" s="49"/>
      <c r="E72" s="47" t="s">
        <v>145</v>
      </c>
      <c r="H72" s="57">
        <f>NPV($G$2,I71:K71)</f>
        <v>694966.19083395926</v>
      </c>
      <c r="I72" s="57"/>
      <c r="K72" s="49"/>
      <c r="L72" s="49"/>
    </row>
    <row r="73" spans="3:12" x14ac:dyDescent="0.15">
      <c r="C73" s="49"/>
      <c r="D73" s="47" t="s">
        <v>144</v>
      </c>
      <c r="H73" s="57"/>
      <c r="I73" s="57"/>
      <c r="J73" s="57"/>
      <c r="K73" s="57"/>
      <c r="L73" s="57">
        <f>H33</f>
        <v>197885.19637462209</v>
      </c>
    </row>
    <row r="74" spans="3:12" x14ac:dyDescent="0.15">
      <c r="C74" s="49"/>
      <c r="E74" s="47" t="s">
        <v>146</v>
      </c>
      <c r="H74" s="57">
        <f>L73/$G$2*(1+$G$2)^(-3)</f>
        <v>1486740.7691556877</v>
      </c>
      <c r="I74" s="57"/>
      <c r="J74" s="49"/>
      <c r="K74" s="49"/>
      <c r="L74" s="49"/>
    </row>
    <row r="75" spans="3:12" x14ac:dyDescent="0.15">
      <c r="C75" s="49"/>
      <c r="D75" s="47" t="s">
        <v>55</v>
      </c>
      <c r="H75" s="57">
        <f>SUM(H72:H74)</f>
        <v>2181706.9599896469</v>
      </c>
      <c r="I75" s="57"/>
      <c r="J75" s="49"/>
      <c r="K75" s="49"/>
      <c r="L75" s="49"/>
    </row>
    <row r="76" spans="3:12" x14ac:dyDescent="0.15">
      <c r="C76" s="49"/>
      <c r="H76" s="57"/>
      <c r="I76" s="57"/>
      <c r="J76" s="49"/>
      <c r="K76" s="49"/>
      <c r="L76" s="49"/>
    </row>
    <row r="77" spans="3:12" x14ac:dyDescent="0.15">
      <c r="C77" s="49"/>
      <c r="H77" s="57"/>
      <c r="I77" s="57"/>
      <c r="J77" s="49"/>
      <c r="K77" s="49"/>
      <c r="L7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2:G45"/>
  <sheetViews>
    <sheetView zoomScale="150" zoomScaleNormal="150" zoomScalePageLayoutView="150" workbookViewId="0"/>
  </sheetViews>
  <sheetFormatPr baseColWidth="10" defaultRowHeight="13" x14ac:dyDescent="0.15"/>
  <sheetData>
    <row r="2" spans="1:7" x14ac:dyDescent="0.15">
      <c r="B2" s="58" t="s">
        <v>20</v>
      </c>
      <c r="C2" s="58"/>
      <c r="D2" s="58" t="s">
        <v>21</v>
      </c>
      <c r="E2" s="58"/>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4" spans="1:7" x14ac:dyDescent="0.15">
      <c r="A44" s="35"/>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app-vanguard-it</vt:lpstr>
      <vt:lpstr>app-cypress-technologies</vt:lpstr>
      <vt:lpstr>app-roarke-stone</vt:lpstr>
      <vt:lpstr>Format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2022-12-31T23:33:12Z</dcterms:modified>
</cp:coreProperties>
</file>