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Case Studies\M&amp;A Case\Website\excel\"/>
    </mc:Choice>
  </mc:AlternateContent>
  <bookViews>
    <workbookView xWindow="0" yWindow="0" windowWidth="15360" windowHeight="7755"/>
  </bookViews>
  <sheets>
    <sheet name="Cover" sheetId="9" r:id="rId1"/>
    <sheet name="Financials" sheetId="1" r:id="rId2"/>
    <sheet name="Reorganized" sheetId="2" r:id="rId3"/>
    <sheet name="Ratio Analysis" sheetId="3" r:id="rId4"/>
    <sheet name="Forecasts" sheetId="4" r:id="rId5"/>
    <sheet name="DCF" sheetId="5" r:id="rId6"/>
    <sheet name="Valuation" sheetId="6" r:id="rId7"/>
    <sheet name="Operations" sheetId="7" r:id="rId8"/>
    <sheet name="Multiples" sheetId="8" r:id="rId9"/>
  </sheets>
  <definedNames>
    <definedName name="business_units">Forecasts!$H$6:$H$7</definedName>
    <definedName name="choice">DCF!$Q$9</definedName>
    <definedName name="company_name">Financials!$A$2</definedName>
    <definedName name="currency">Financials!$A$7</definedName>
    <definedName name="interest_rate">'Ratio Analysis'!$O$8</definedName>
    <definedName name="start_year">Financials!$B$7</definedName>
    <definedName name="tax_rate">'Ratio Analysis'!$O$10</definedName>
    <definedName name="unit1">Financials!$B$5</definedName>
    <definedName name="unit2">Financials!$F$5</definedName>
    <definedName name="WACC">'Ratio Analysis'!$O$9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5" l="1"/>
  <c r="A6" i="7" l="1"/>
  <c r="A24" i="1"/>
  <c r="D20" i="7" l="1"/>
  <c r="G18" i="7"/>
  <c r="F18" i="7"/>
  <c r="E18" i="7"/>
  <c r="D18" i="7"/>
  <c r="B18" i="7"/>
  <c r="G14" i="7"/>
  <c r="G20" i="7" s="1"/>
  <c r="F14" i="7"/>
  <c r="F20" i="7" s="1"/>
  <c r="E14" i="7"/>
  <c r="E20" i="7" s="1"/>
  <c r="D14" i="7"/>
  <c r="B14" i="7"/>
  <c r="B20" i="7" s="1"/>
  <c r="G9" i="7"/>
  <c r="F9" i="7"/>
  <c r="E9" i="7"/>
  <c r="D9" i="7"/>
  <c r="B9" i="7"/>
  <c r="B13" i="8"/>
  <c r="B10" i="8"/>
  <c r="A2" i="8"/>
  <c r="B10" i="6"/>
  <c r="B7" i="6"/>
  <c r="A7" i="6"/>
  <c r="B6" i="6"/>
  <c r="A6" i="6"/>
  <c r="A5" i="6"/>
  <c r="A2" i="6"/>
  <c r="D24" i="5"/>
  <c r="D25" i="5" s="1"/>
  <c r="D26" i="5" s="1"/>
  <c r="B23" i="5"/>
  <c r="K16" i="5"/>
  <c r="K11" i="5"/>
  <c r="P7" i="5"/>
  <c r="Q9" i="5" s="1"/>
  <c r="P6" i="5"/>
  <c r="B6" i="5"/>
  <c r="A18" i="4"/>
  <c r="A17" i="4"/>
  <c r="A16" i="4"/>
  <c r="H13" i="4"/>
  <c r="A13" i="4"/>
  <c r="H12" i="4"/>
  <c r="A12" i="4"/>
  <c r="H11" i="4"/>
  <c r="D11" i="4"/>
  <c r="E11" i="4" s="1"/>
  <c r="F11" i="4" s="1"/>
  <c r="A11" i="4"/>
  <c r="H8" i="4"/>
  <c r="C8" i="4"/>
  <c r="A8" i="4"/>
  <c r="K7" i="4"/>
  <c r="K12" i="4" s="1"/>
  <c r="I7" i="4"/>
  <c r="J7" i="4" s="1"/>
  <c r="J12" i="4" s="1"/>
  <c r="H7" i="4"/>
  <c r="A7" i="4"/>
  <c r="K6" i="4"/>
  <c r="J6" i="4"/>
  <c r="J8" i="4" s="1"/>
  <c r="I6" i="4"/>
  <c r="I8" i="4" s="1"/>
  <c r="H6" i="4"/>
  <c r="A6" i="4"/>
  <c r="H35" i="3"/>
  <c r="K32" i="3"/>
  <c r="L31" i="3"/>
  <c r="B31" i="3"/>
  <c r="J30" i="3"/>
  <c r="F30" i="3"/>
  <c r="B30" i="3"/>
  <c r="K24" i="3"/>
  <c r="B24" i="3"/>
  <c r="K20" i="3"/>
  <c r="F20" i="3"/>
  <c r="L19" i="3"/>
  <c r="B8" i="4" s="1"/>
  <c r="J18" i="3"/>
  <c r="F18" i="3"/>
  <c r="B18" i="3"/>
  <c r="J7" i="3"/>
  <c r="F7" i="3"/>
  <c r="B7" i="3"/>
  <c r="J5" i="3"/>
  <c r="L34" i="2"/>
  <c r="K34" i="2"/>
  <c r="J34" i="2"/>
  <c r="L33" i="2"/>
  <c r="K33" i="2"/>
  <c r="J33" i="2"/>
  <c r="J32" i="2"/>
  <c r="L28" i="2"/>
  <c r="L35" i="3" s="1"/>
  <c r="K28" i="2"/>
  <c r="K35" i="3" s="1"/>
  <c r="J28" i="2"/>
  <c r="H28" i="2"/>
  <c r="G28" i="2"/>
  <c r="G35" i="3" s="1"/>
  <c r="F28" i="2"/>
  <c r="F35" i="3" s="1"/>
  <c r="D28" i="2"/>
  <c r="C28" i="2"/>
  <c r="B28" i="2"/>
  <c r="B35" i="3" s="1"/>
  <c r="K26" i="2"/>
  <c r="K29" i="2" s="1"/>
  <c r="K11" i="3" s="1"/>
  <c r="J26" i="2"/>
  <c r="J29" i="2" s="1"/>
  <c r="F26" i="2"/>
  <c r="F29" i="2" s="1"/>
  <c r="F36" i="3" s="1"/>
  <c r="D26" i="2"/>
  <c r="D29" i="2" s="1"/>
  <c r="L25" i="2"/>
  <c r="L32" i="3" s="1"/>
  <c r="K25" i="2"/>
  <c r="J25" i="2"/>
  <c r="H25" i="2"/>
  <c r="G25" i="2"/>
  <c r="G32" i="3" s="1"/>
  <c r="F25" i="2"/>
  <c r="F32" i="3" s="1"/>
  <c r="D25" i="2"/>
  <c r="C25" i="2"/>
  <c r="B25" i="2"/>
  <c r="B32" i="3" s="1"/>
  <c r="L24" i="2"/>
  <c r="K24" i="2"/>
  <c r="K31" i="3" s="1"/>
  <c r="K33" i="3" s="1"/>
  <c r="J24" i="2"/>
  <c r="H24" i="2"/>
  <c r="H26" i="2" s="1"/>
  <c r="H29" i="2" s="1"/>
  <c r="H36" i="3" s="1"/>
  <c r="G24" i="2"/>
  <c r="F24" i="2"/>
  <c r="F31" i="3" s="1"/>
  <c r="F33" i="3" s="1"/>
  <c r="D24" i="2"/>
  <c r="C24" i="2"/>
  <c r="C26" i="2" s="1"/>
  <c r="C29" i="2" s="1"/>
  <c r="C36" i="3" s="1"/>
  <c r="B24" i="2"/>
  <c r="J23" i="2"/>
  <c r="F23" i="2"/>
  <c r="B23" i="2"/>
  <c r="A23" i="2"/>
  <c r="L13" i="2"/>
  <c r="L24" i="3" s="1"/>
  <c r="K13" i="2"/>
  <c r="J13" i="2"/>
  <c r="H13" i="2"/>
  <c r="H24" i="3" s="1"/>
  <c r="G13" i="2"/>
  <c r="G24" i="3" s="1"/>
  <c r="F13" i="2"/>
  <c r="F24" i="3" s="1"/>
  <c r="D13" i="2"/>
  <c r="C13" i="2"/>
  <c r="C24" i="3" s="1"/>
  <c r="B13" i="2"/>
  <c r="L10" i="2"/>
  <c r="L21" i="3" s="1"/>
  <c r="K10" i="2"/>
  <c r="K21" i="3" s="1"/>
  <c r="J10" i="2"/>
  <c r="H10" i="2"/>
  <c r="G10" i="2"/>
  <c r="G21" i="3" s="1"/>
  <c r="F10" i="2"/>
  <c r="F21" i="3" s="1"/>
  <c r="D10" i="2"/>
  <c r="C10" i="2"/>
  <c r="B10" i="2"/>
  <c r="B21" i="3" s="1"/>
  <c r="L9" i="2"/>
  <c r="L20" i="3" s="1"/>
  <c r="L22" i="3" s="1"/>
  <c r="K9" i="2"/>
  <c r="K11" i="2" s="1"/>
  <c r="K14" i="2" s="1"/>
  <c r="J9" i="2"/>
  <c r="H9" i="2"/>
  <c r="H20" i="3" s="1"/>
  <c r="G9" i="2"/>
  <c r="G20" i="3" s="1"/>
  <c r="F9" i="2"/>
  <c r="D9" i="2"/>
  <c r="C9" i="2"/>
  <c r="C20" i="3" s="1"/>
  <c r="B9" i="2"/>
  <c r="B20" i="3" s="1"/>
  <c r="L8" i="2"/>
  <c r="K8" i="2"/>
  <c r="J8" i="2"/>
  <c r="J11" i="3" s="1"/>
  <c r="H8" i="2"/>
  <c r="G8" i="2"/>
  <c r="F8" i="2"/>
  <c r="F11" i="3" s="1"/>
  <c r="D8" i="2"/>
  <c r="D11" i="3" s="1"/>
  <c r="B16" i="4" s="1"/>
  <c r="C8" i="2"/>
  <c r="C21" i="3" s="1"/>
  <c r="B8" i="2"/>
  <c r="J7" i="2"/>
  <c r="F7" i="2"/>
  <c r="B7" i="2"/>
  <c r="A7" i="2"/>
  <c r="J5" i="2"/>
  <c r="J30" i="1"/>
  <c r="F30" i="1"/>
  <c r="B30" i="1"/>
  <c r="A30" i="1"/>
  <c r="J27" i="1"/>
  <c r="J35" i="1" s="1"/>
  <c r="H27" i="1"/>
  <c r="G27" i="1"/>
  <c r="F27" i="1"/>
  <c r="D27" i="1"/>
  <c r="L27" i="1" s="1"/>
  <c r="L35" i="1" s="1"/>
  <c r="C27" i="1"/>
  <c r="K27" i="1" s="1"/>
  <c r="K35" i="1" s="1"/>
  <c r="B27" i="1"/>
  <c r="J24" i="1"/>
  <c r="F24" i="1"/>
  <c r="B24" i="1"/>
  <c r="J20" i="1"/>
  <c r="L17" i="1"/>
  <c r="L20" i="1" s="1"/>
  <c r="L14" i="1"/>
  <c r="K14" i="1"/>
  <c r="K17" i="1" s="1"/>
  <c r="K20" i="1" s="1"/>
  <c r="J14" i="1"/>
  <c r="J17" i="1" s="1"/>
  <c r="D14" i="1"/>
  <c r="I11" i="4" s="1"/>
  <c r="I13" i="4" s="1"/>
  <c r="B14" i="1"/>
  <c r="L11" i="1"/>
  <c r="K11" i="1"/>
  <c r="J11" i="1"/>
  <c r="H11" i="1"/>
  <c r="H14" i="1" s="1"/>
  <c r="I12" i="4" s="1"/>
  <c r="G11" i="1"/>
  <c r="G14" i="1" s="1"/>
  <c r="F11" i="1"/>
  <c r="F14" i="1" s="1"/>
  <c r="D11" i="1"/>
  <c r="C11" i="1"/>
  <c r="C14" i="1" s="1"/>
  <c r="B11" i="1"/>
  <c r="J7" i="1"/>
  <c r="F7" i="1"/>
  <c r="B7" i="1"/>
  <c r="C18" i="3" s="1"/>
  <c r="D18" i="3" s="1"/>
  <c r="K11" i="4" l="1"/>
  <c r="K13" i="4" s="1"/>
  <c r="B8" i="6"/>
  <c r="B11" i="6" s="1"/>
  <c r="B14" i="6" s="1"/>
  <c r="B22" i="3"/>
  <c r="K22" i="3"/>
  <c r="K24" i="1"/>
  <c r="L24" i="1" s="1"/>
  <c r="K7" i="2"/>
  <c r="L7" i="2" s="1"/>
  <c r="K7" i="3"/>
  <c r="L7" i="3" s="1"/>
  <c r="C30" i="3"/>
  <c r="D30" i="3" s="1"/>
  <c r="K30" i="1"/>
  <c r="L30" i="1" s="1"/>
  <c r="C7" i="2"/>
  <c r="D7" i="2" s="1"/>
  <c r="C23" i="2"/>
  <c r="D23" i="2" s="1"/>
  <c r="C7" i="1"/>
  <c r="D7" i="1" s="1"/>
  <c r="I5" i="4" s="1"/>
  <c r="L5" i="4" s="1"/>
  <c r="F6" i="5" s="1"/>
  <c r="B26" i="5" s="1"/>
  <c r="C30" i="1"/>
  <c r="D30" i="1" s="1"/>
  <c r="K16" i="2"/>
  <c r="K25" i="3"/>
  <c r="K8" i="3" s="1"/>
  <c r="K10" i="3" s="1"/>
  <c r="K12" i="3" s="1"/>
  <c r="K17" i="2"/>
  <c r="C22" i="3"/>
  <c r="C9" i="5"/>
  <c r="F7" i="5"/>
  <c r="E7" i="5"/>
  <c r="K17" i="5"/>
  <c r="D9" i="5"/>
  <c r="D7" i="5"/>
  <c r="C7" i="5"/>
  <c r="E9" i="5"/>
  <c r="D19" i="3"/>
  <c r="B6" i="4" s="1"/>
  <c r="B33" i="3"/>
  <c r="K19" i="3"/>
  <c r="J20" i="3"/>
  <c r="H21" i="3"/>
  <c r="H22" i="3" s="1"/>
  <c r="C11" i="2"/>
  <c r="C14" i="2" s="1"/>
  <c r="J11" i="2"/>
  <c r="J14" i="2" s="1"/>
  <c r="D24" i="3"/>
  <c r="J24" i="3"/>
  <c r="D31" i="3"/>
  <c r="J31" i="3"/>
  <c r="C32" i="3"/>
  <c r="H32" i="3"/>
  <c r="D36" i="3"/>
  <c r="C31" i="3"/>
  <c r="J35" i="3"/>
  <c r="L7" i="4"/>
  <c r="G30" i="3"/>
  <c r="H30" i="3" s="1"/>
  <c r="G18" i="3"/>
  <c r="H18" i="3" s="1"/>
  <c r="C7" i="3"/>
  <c r="D7" i="3" s="1"/>
  <c r="G23" i="2"/>
  <c r="H23" i="2" s="1"/>
  <c r="K30" i="3"/>
  <c r="L30" i="3" s="1"/>
  <c r="K18" i="3"/>
  <c r="L18" i="3" s="1"/>
  <c r="G7" i="3"/>
  <c r="H7" i="3" s="1"/>
  <c r="K32" i="2"/>
  <c r="L32" i="2" s="1"/>
  <c r="K23" i="2"/>
  <c r="L23" i="2" s="1"/>
  <c r="G7" i="2"/>
  <c r="H7" i="2" s="1"/>
  <c r="C24" i="1"/>
  <c r="D24" i="1" s="1"/>
  <c r="K7" i="1"/>
  <c r="L7" i="1" s="1"/>
  <c r="G7" i="1"/>
  <c r="H7" i="1" s="1"/>
  <c r="G24" i="1"/>
  <c r="H24" i="1" s="1"/>
  <c r="G30" i="1"/>
  <c r="H30" i="1" s="1"/>
  <c r="B11" i="2"/>
  <c r="B14" i="2" s="1"/>
  <c r="G19" i="3"/>
  <c r="G11" i="2"/>
  <c r="G14" i="2" s="1"/>
  <c r="L11" i="2"/>
  <c r="L14" i="2" s="1"/>
  <c r="D11" i="2"/>
  <c r="D14" i="2" s="1"/>
  <c r="D32" i="3"/>
  <c r="J32" i="3"/>
  <c r="C35" i="3"/>
  <c r="D20" i="3"/>
  <c r="D21" i="3"/>
  <c r="H31" i="3"/>
  <c r="H33" i="3" s="1"/>
  <c r="H11" i="2"/>
  <c r="H14" i="2" s="1"/>
  <c r="K36" i="3"/>
  <c r="K35" i="2"/>
  <c r="C11" i="3"/>
  <c r="H19" i="3"/>
  <c r="B7" i="4" s="1"/>
  <c r="H11" i="3"/>
  <c r="B17" i="4" s="1"/>
  <c r="K15" i="5" s="1"/>
  <c r="G22" i="3"/>
  <c r="F11" i="2"/>
  <c r="F14" i="2" s="1"/>
  <c r="C19" i="3"/>
  <c r="F22" i="3"/>
  <c r="J21" i="3"/>
  <c r="L33" i="3"/>
  <c r="D35" i="3"/>
  <c r="B26" i="2"/>
  <c r="B29" i="2" s="1"/>
  <c r="G26" i="2"/>
  <c r="G29" i="2" s="1"/>
  <c r="L26" i="2"/>
  <c r="L29" i="2" s="1"/>
  <c r="L11" i="3" s="1"/>
  <c r="B18" i="4" s="1"/>
  <c r="J36" i="3"/>
  <c r="J35" i="2"/>
  <c r="G31" i="3"/>
  <c r="G33" i="3" s="1"/>
  <c r="L6" i="4"/>
  <c r="K8" i="4"/>
  <c r="D8" i="4" s="1"/>
  <c r="J11" i="4"/>
  <c r="J13" i="4" s="1"/>
  <c r="C13" i="4" s="1"/>
  <c r="J22" i="3" l="1"/>
  <c r="D33" i="3"/>
  <c r="M5" i="4"/>
  <c r="G6" i="5" s="1"/>
  <c r="J5" i="4"/>
  <c r="D6" i="5" s="1"/>
  <c r="B24" i="5" s="1"/>
  <c r="C6" i="5"/>
  <c r="E5" i="4"/>
  <c r="B5" i="4"/>
  <c r="K5" i="4"/>
  <c r="D5" i="4" s="1"/>
  <c r="F25" i="3"/>
  <c r="F8" i="3" s="1"/>
  <c r="F10" i="3" s="1"/>
  <c r="F12" i="3" s="1"/>
  <c r="F16" i="2"/>
  <c r="F17" i="2" s="1"/>
  <c r="D25" i="3"/>
  <c r="D16" i="2"/>
  <c r="D17" i="2" s="1"/>
  <c r="C25" i="3"/>
  <c r="C8" i="3" s="1"/>
  <c r="C10" i="3" s="1"/>
  <c r="C12" i="3" s="1"/>
  <c r="C16" i="2"/>
  <c r="C17" i="2" s="1"/>
  <c r="D14" i="5"/>
  <c r="E14" i="5"/>
  <c r="B25" i="3"/>
  <c r="B8" i="3" s="1"/>
  <c r="B10" i="3" s="1"/>
  <c r="B12" i="3" s="1"/>
  <c r="B16" i="2"/>
  <c r="B17" i="2" s="1"/>
  <c r="M7" i="4"/>
  <c r="L12" i="4"/>
  <c r="F9" i="5" s="1"/>
  <c r="B36" i="3"/>
  <c r="B11" i="3"/>
  <c r="M6" i="4"/>
  <c r="L11" i="4"/>
  <c r="L13" i="4" s="1"/>
  <c r="E13" i="4" s="1"/>
  <c r="L8" i="4"/>
  <c r="E8" i="4" s="1"/>
  <c r="L36" i="3"/>
  <c r="L35" i="2"/>
  <c r="L25" i="3"/>
  <c r="L17" i="2"/>
  <c r="L16" i="2"/>
  <c r="E11" i="5"/>
  <c r="E12" i="5" s="1"/>
  <c r="E8" i="5"/>
  <c r="D11" i="5"/>
  <c r="D12" i="5" s="1"/>
  <c r="D8" i="5"/>
  <c r="F14" i="5"/>
  <c r="G36" i="3"/>
  <c r="G11" i="3"/>
  <c r="D13" i="4"/>
  <c r="H25" i="3"/>
  <c r="H16" i="2"/>
  <c r="H17" i="2" s="1"/>
  <c r="D22" i="3"/>
  <c r="G25" i="3"/>
  <c r="G8" i="3" s="1"/>
  <c r="G10" i="3" s="1"/>
  <c r="G12" i="3" s="1"/>
  <c r="G16" i="2"/>
  <c r="G17" i="2" s="1"/>
  <c r="C33" i="3"/>
  <c r="J33" i="3"/>
  <c r="J16" i="2"/>
  <c r="J17" i="2" s="1"/>
  <c r="J25" i="3"/>
  <c r="J8" i="3" s="1"/>
  <c r="J10" i="3" s="1"/>
  <c r="J12" i="3" s="1"/>
  <c r="C11" i="5"/>
  <c r="C12" i="5" s="1"/>
  <c r="C8" i="5"/>
  <c r="D15" i="5" l="1"/>
  <c r="C24" i="5" s="1"/>
  <c r="E24" i="5" s="1"/>
  <c r="F5" i="4"/>
  <c r="E6" i="5"/>
  <c r="B25" i="5" s="1"/>
  <c r="C5" i="4"/>
  <c r="E15" i="5"/>
  <c r="C25" i="5" s="1"/>
  <c r="E25" i="5" s="1"/>
  <c r="B13" i="4"/>
  <c r="L8" i="3"/>
  <c r="L10" i="3" s="1"/>
  <c r="L12" i="3" s="1"/>
  <c r="F8" i="5"/>
  <c r="F11" i="5"/>
  <c r="F12" i="5" s="1"/>
  <c r="F15" i="5" s="1"/>
  <c r="C26" i="5" s="1"/>
  <c r="E26" i="5" s="1"/>
  <c r="M8" i="4"/>
  <c r="F8" i="4" s="1"/>
  <c r="M11" i="4"/>
  <c r="M13" i="4" s="1"/>
  <c r="F13" i="4" s="1"/>
  <c r="M12" i="4"/>
  <c r="G9" i="5" s="1"/>
  <c r="K10" i="5" s="1"/>
  <c r="G7" i="5"/>
  <c r="B11" i="4"/>
  <c r="D8" i="3"/>
  <c r="D10" i="3" s="1"/>
  <c r="D12" i="3" s="1"/>
  <c r="B12" i="4"/>
  <c r="H8" i="3"/>
  <c r="H10" i="3" s="1"/>
  <c r="H12" i="3" s="1"/>
  <c r="G11" i="5" l="1"/>
  <c r="G12" i="5" s="1"/>
  <c r="K12" i="5" s="1"/>
  <c r="K14" i="5" s="1"/>
  <c r="M15" i="5" s="1"/>
  <c r="C27" i="5" s="1"/>
  <c r="E27" i="5" s="1"/>
  <c r="E28" i="5" s="1"/>
  <c r="Q5" i="5" s="1"/>
  <c r="G8" i="5"/>
</calcChain>
</file>

<file path=xl/sharedStrings.xml><?xml version="1.0" encoding="utf-8"?>
<sst xmlns="http://schemas.openxmlformats.org/spreadsheetml/2006/main" count="171" uniqueCount="115">
  <si>
    <t>Financial Statements</t>
  </si>
  <si>
    <t>Packaged Glass</t>
  </si>
  <si>
    <t>Flat Glass</t>
  </si>
  <si>
    <t>Revenues</t>
  </si>
  <si>
    <t>Raw materials</t>
  </si>
  <si>
    <t>Forging expenses</t>
  </si>
  <si>
    <t>Gross profit</t>
  </si>
  <si>
    <t>Selling and support costs</t>
  </si>
  <si>
    <t>Operating profit</t>
  </si>
  <si>
    <t>Interest expense</t>
  </si>
  <si>
    <t>Pre-tax profit</t>
  </si>
  <si>
    <t>Income taxes</t>
  </si>
  <si>
    <t>Net income</t>
  </si>
  <si>
    <t>Diablo Glass</t>
  </si>
  <si>
    <t>Balance Sheet</t>
  </si>
  <si>
    <t>Operating current assets</t>
  </si>
  <si>
    <t>Long-term assets</t>
  </si>
  <si>
    <t>Total assets</t>
  </si>
  <si>
    <t>Operating current liabilities</t>
  </si>
  <si>
    <t>Debt</t>
  </si>
  <si>
    <t>Equity</t>
  </si>
  <si>
    <t>Liab &amp; Equity</t>
  </si>
  <si>
    <t>Reorganized Financial Statements</t>
  </si>
  <si>
    <t>Operating taxes</t>
  </si>
  <si>
    <t>After-tax operating profit</t>
  </si>
  <si>
    <t>Invested Capital</t>
  </si>
  <si>
    <t>Working capital</t>
  </si>
  <si>
    <t>Invested capital</t>
  </si>
  <si>
    <t>Reconciliation</t>
  </si>
  <si>
    <t>Financial Analysis</t>
  </si>
  <si>
    <t>Key Value Drivers</t>
  </si>
  <si>
    <t>Key Drivers</t>
  </si>
  <si>
    <t>Value</t>
  </si>
  <si>
    <t>Operating margin</t>
  </si>
  <si>
    <t>Interest rate</t>
  </si>
  <si>
    <t>Cost of capital</t>
  </si>
  <si>
    <t>After-tax operating margin</t>
  </si>
  <si>
    <t>Tax rate</t>
  </si>
  <si>
    <t>Capital turnover</t>
  </si>
  <si>
    <t>Return on captial</t>
  </si>
  <si>
    <t>Opearting margin</t>
  </si>
  <si>
    <t>percent</t>
  </si>
  <si>
    <t>Revenue growth</t>
  </si>
  <si>
    <t>n/a</t>
  </si>
  <si>
    <t>Gross margin</t>
  </si>
  <si>
    <t>Capital intensity</t>
  </si>
  <si>
    <t>days revenue</t>
  </si>
  <si>
    <t>Current assets (in days)</t>
  </si>
  <si>
    <t>Current liabilities (in days)</t>
  </si>
  <si>
    <t>Long-term assets (% of sales)</t>
  </si>
  <si>
    <t>Forecast Inputs</t>
  </si>
  <si>
    <t>Analyst Forecasts</t>
  </si>
  <si>
    <t>Revenue</t>
  </si>
  <si>
    <t>Adjust margin here.</t>
  </si>
  <si>
    <t>Enterprise DCF Model</t>
  </si>
  <si>
    <t>Enterprise DCF</t>
  </si>
  <si>
    <t>Glass Containers</t>
  </si>
  <si>
    <t>Step 1: Free Cash Flow Forecast</t>
  </si>
  <si>
    <t>Continuing Value</t>
  </si>
  <si>
    <t>- Operating costs</t>
  </si>
  <si>
    <t>= Operating profit</t>
  </si>
  <si>
    <t>Input</t>
  </si>
  <si>
    <t>Choice</t>
  </si>
  <si>
    <t>- Operating taxes</t>
  </si>
  <si>
    <t>x 1 - Operating tax rate</t>
  </si>
  <si>
    <t>= After-tax operating profit</t>
  </si>
  <si>
    <t>Continuing</t>
  </si>
  <si>
    <r>
      <t>- Growth capital</t>
    </r>
    <r>
      <rPr>
        <vertAlign val="superscript"/>
        <sz val="11"/>
        <color theme="1"/>
        <rFont val="Calibri"/>
        <family val="2"/>
        <scheme val="minor"/>
      </rPr>
      <t>1</t>
    </r>
  </si>
  <si>
    <t>= Free cash flow</t>
  </si>
  <si>
    <t>RONIC (Return on new Capital)</t>
  </si>
  <si>
    <t>WACC</t>
  </si>
  <si>
    <t>(kvd formula)</t>
  </si>
  <si>
    <t>Growth</t>
  </si>
  <si>
    <t>Enterprise Value</t>
  </si>
  <si>
    <t>(a)</t>
  </si>
  <si>
    <t>(b)</t>
  </si>
  <si>
    <t>(a) x (b)</t>
  </si>
  <si>
    <t>Free</t>
  </si>
  <si>
    <t>Discount</t>
  </si>
  <si>
    <t>Discounted</t>
  </si>
  <si>
    <t>Cash Flow</t>
  </si>
  <si>
    <t>Rate</t>
  </si>
  <si>
    <t>Step 3: Enterprise DCF Valuation</t>
  </si>
  <si>
    <t>Continuing value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</si>
  <si>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Growth capital equals the capital required above and beyond depreciation</t>
    </r>
  </si>
  <si>
    <t>Enterprise valuation</t>
  </si>
  <si>
    <t>Enterprise value</t>
  </si>
  <si>
    <t>Equity value</t>
  </si>
  <si>
    <t>Number of shares</t>
  </si>
  <si>
    <t>Share price</t>
  </si>
  <si>
    <t>Facility Cost Stucture</t>
  </si>
  <si>
    <t xml:space="preserve">    St. Gobain (internal information)</t>
  </si>
  <si>
    <t>Diablo</t>
  </si>
  <si>
    <t>Facility 1</t>
  </si>
  <si>
    <t>Facility 2</t>
  </si>
  <si>
    <t>Facility 3</t>
  </si>
  <si>
    <t>Facility 4</t>
  </si>
  <si>
    <t>Price per case (pesos)</t>
  </si>
  <si>
    <t>Number of containers (millions)</t>
  </si>
  <si>
    <t>Cost Structure</t>
  </si>
  <si>
    <t>Square feet of glass (millions)</t>
  </si>
  <si>
    <t>Purchase price per square foot</t>
  </si>
  <si>
    <t>Raw materials ($ millions)</t>
  </si>
  <si>
    <t>Forging - Headcount (FTEs)</t>
  </si>
  <si>
    <t>Forging - Salary (EURs)</t>
  </si>
  <si>
    <t>Forging - Labor costs ($ millions)</t>
  </si>
  <si>
    <t>Total cost</t>
  </si>
  <si>
    <t>Flat Glass Competitors</t>
  </si>
  <si>
    <t>Comp A</t>
  </si>
  <si>
    <t>Value of operations</t>
  </si>
  <si>
    <t>Excess cash</t>
  </si>
  <si>
    <t>Noncore assets</t>
  </si>
  <si>
    <t>Gross enterprise value</t>
  </si>
  <si>
    <t>EBITA</t>
  </si>
  <si>
    <t>$ 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</si>
</sst>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);\(#,##0.0\)"/>
    <numFmt numFmtId="165" formatCode="0.0%"/>
    <numFmt numFmtId="166" formatCode="0.0"/>
    <numFmt numFmtId="167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1" xfId="0" applyFont="1" applyBorder="1"/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0" xfId="0" applyFill="1" applyBorder="1"/>
    <xf numFmtId="0" fontId="0" fillId="0" borderId="3" xfId="0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0" fontId="3" fillId="0" borderId="2" xfId="0" applyFont="1" applyBorder="1"/>
    <xf numFmtId="0" fontId="0" fillId="0" borderId="3" xfId="0" applyFill="1" applyBorder="1"/>
    <xf numFmtId="0" fontId="2" fillId="0" borderId="2" xfId="0" applyFont="1" applyBorder="1"/>
    <xf numFmtId="0" fontId="4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5" fontId="0" fillId="0" borderId="0" xfId="0" applyNumberFormat="1"/>
    <xf numFmtId="9" fontId="5" fillId="0" borderId="0" xfId="0" applyNumberFormat="1" applyFont="1"/>
    <xf numFmtId="165" fontId="0" fillId="0" borderId="0" xfId="1" applyNumberFormat="1" applyFont="1"/>
    <xf numFmtId="39" fontId="0" fillId="0" borderId="2" xfId="0" applyNumberFormat="1" applyBorder="1"/>
    <xf numFmtId="164" fontId="0" fillId="0" borderId="0" xfId="0" applyNumberFormat="1" applyAlignment="1">
      <alignment horizontal="right"/>
    </xf>
    <xf numFmtId="165" fontId="0" fillId="0" borderId="2" xfId="1" applyNumberFormat="1" applyFont="1" applyBorder="1"/>
    <xf numFmtId="165" fontId="0" fillId="0" borderId="3" xfId="1" applyNumberFormat="1" applyFont="1" applyBorder="1"/>
    <xf numFmtId="165" fontId="5" fillId="0" borderId="0" xfId="0" applyNumberFormat="1" applyFont="1"/>
    <xf numFmtId="166" fontId="0" fillId="0" borderId="0" xfId="0" applyNumberFormat="1"/>
    <xf numFmtId="165" fontId="5" fillId="0" borderId="2" xfId="0" applyNumberFormat="1" applyFont="1" applyBorder="1"/>
    <xf numFmtId="166" fontId="0" fillId="0" borderId="2" xfId="0" applyNumberFormat="1" applyBorder="1"/>
    <xf numFmtId="165" fontId="5" fillId="2" borderId="0" xfId="0" applyNumberFormat="1" applyFont="1" applyFill="1"/>
    <xf numFmtId="165" fontId="5" fillId="0" borderId="2" xfId="1" applyNumberFormat="1" applyFont="1" applyBorder="1"/>
    <xf numFmtId="0" fontId="0" fillId="0" borderId="0" xfId="0" applyFill="1"/>
    <xf numFmtId="2" fontId="0" fillId="0" borderId="0" xfId="0" applyNumberFormat="1" applyFill="1"/>
    <xf numFmtId="2" fontId="0" fillId="0" borderId="2" xfId="0" applyNumberFormat="1" applyFill="1" applyBorder="1"/>
    <xf numFmtId="0" fontId="2" fillId="0" borderId="0" xfId="0" applyFont="1" applyBorder="1"/>
    <xf numFmtId="0" fontId="6" fillId="0" borderId="0" xfId="0" applyFont="1" applyAlignment="1"/>
    <xf numFmtId="0" fontId="0" fillId="0" borderId="0" xfId="0" applyFont="1"/>
    <xf numFmtId="16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center" textRotation="90"/>
    </xf>
    <xf numFmtId="0" fontId="0" fillId="0" borderId="2" xfId="0" quotePrefix="1" applyBorder="1"/>
    <xf numFmtId="0" fontId="0" fillId="0" borderId="0" xfId="0" quotePrefix="1" applyFill="1" applyBorder="1"/>
    <xf numFmtId="9" fontId="0" fillId="0" borderId="2" xfId="0" applyNumberFormat="1" applyBorder="1"/>
    <xf numFmtId="0" fontId="0" fillId="0" borderId="0" xfId="0" quotePrefix="1"/>
    <xf numFmtId="164" fontId="0" fillId="3" borderId="0" xfId="0" applyNumberFormat="1" applyFill="1"/>
    <xf numFmtId="0" fontId="2" fillId="0" borderId="0" xfId="0" applyFont="1" applyAlignment="1">
      <alignment horizontal="center"/>
    </xf>
    <xf numFmtId="164" fontId="0" fillId="0" borderId="2" xfId="0" quotePrefix="1" applyNumberFormat="1" applyBorder="1"/>
    <xf numFmtId="164" fontId="0" fillId="0" borderId="0" xfId="0" applyNumberFormat="1" applyFill="1"/>
    <xf numFmtId="165" fontId="0" fillId="0" borderId="0" xfId="0" applyNumberFormat="1" applyFill="1"/>
    <xf numFmtId="0" fontId="0" fillId="0" borderId="0" xfId="0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 applyBorder="1"/>
    <xf numFmtId="0" fontId="3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8" fillId="0" borderId="0" xfId="0" applyFont="1" applyBorder="1"/>
    <xf numFmtId="164" fontId="5" fillId="0" borderId="0" xfId="0" applyNumberFormat="1" applyFont="1"/>
    <xf numFmtId="0" fontId="8" fillId="0" borderId="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7" fontId="0" fillId="0" borderId="2" xfId="0" applyNumberFormat="1" applyFill="1" applyBorder="1"/>
    <xf numFmtId="37" fontId="5" fillId="0" borderId="0" xfId="0" applyNumberFormat="1" applyFont="1"/>
    <xf numFmtId="37" fontId="0" fillId="0" borderId="0" xfId="0" applyNumberFormat="1"/>
    <xf numFmtId="2" fontId="0" fillId="0" borderId="0" xfId="0" applyNumberFormat="1"/>
    <xf numFmtId="0" fontId="0" fillId="3" borderId="3" xfId="0" applyFill="1" applyBorder="1"/>
    <xf numFmtId="165" fontId="0" fillId="3" borderId="3" xfId="1" applyNumberFormat="1" applyFont="1" applyFill="1" applyBorder="1"/>
    <xf numFmtId="0" fontId="0" fillId="3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11</xdr:row>
      <xdr:rowOff>1</xdr:rowOff>
    </xdr:from>
    <xdr:to>
      <xdr:col>3</xdr:col>
      <xdr:colOff>403412</xdr:colOff>
      <xdr:row>15</xdr:row>
      <xdr:rowOff>89648</xdr:rowOff>
    </xdr:to>
    <xdr:cxnSp macro="">
      <xdr:nvCxnSpPr>
        <xdr:cNvPr id="2" name="Straight Arrow Connector 1"/>
        <xdr:cNvCxnSpPr/>
      </xdr:nvCxnSpPr>
      <xdr:spPr>
        <a:xfrm flipH="1" flipV="1">
          <a:off x="2708462" y="2514601"/>
          <a:ext cx="381000" cy="1004047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201706</xdr:colOff>
      <xdr:row>10</xdr:row>
      <xdr:rowOff>56030</xdr:rowOff>
    </xdr:from>
    <xdr:to>
      <xdr:col>6</xdr:col>
      <xdr:colOff>448236</xdr:colOff>
      <xdr:row>12</xdr:row>
      <xdr:rowOff>100853</xdr:rowOff>
    </xdr:to>
    <xdr:sp macro="" textlink="">
      <xdr:nvSpPr>
        <xdr:cNvPr id="3" name="Right Arrow 2"/>
        <xdr:cNvSpPr/>
      </xdr:nvSpPr>
      <xdr:spPr>
        <a:xfrm>
          <a:off x="4716556" y="2342030"/>
          <a:ext cx="246530" cy="502023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156882</xdr:colOff>
      <xdr:row>13</xdr:row>
      <xdr:rowOff>11206</xdr:rowOff>
    </xdr:from>
    <xdr:to>
      <xdr:col>11</xdr:col>
      <xdr:colOff>347383</xdr:colOff>
      <xdr:row>17</xdr:row>
      <xdr:rowOff>22412</xdr:rowOff>
    </xdr:to>
    <xdr:sp macro="" textlink="">
      <xdr:nvSpPr>
        <xdr:cNvPr id="2" name="AutoShape 127"/>
        <xdr:cNvSpPr>
          <a:spLocks/>
        </xdr:cNvSpPr>
      </xdr:nvSpPr>
      <xdr:spPr bwMode="gray">
        <a:xfrm>
          <a:off x="9691407" y="2983006"/>
          <a:ext cx="190501" cy="925606"/>
        </a:xfrm>
        <a:prstGeom prst="rightBrace">
          <a:avLst>
            <a:gd name="adj1" fmla="val 35267"/>
            <a:gd name="adj2" fmla="val 50000"/>
          </a:avLst>
        </a:prstGeom>
        <a:noFill/>
        <a:ln w="25400">
          <a:solidFill>
            <a:schemeClr val="tx1"/>
          </a:solidFill>
          <a:round/>
          <a:headEnd/>
          <a:tailEnd/>
        </a:ln>
      </xdr:spPr>
      <xdr:txBody>
        <a:bodyPr wrap="square" lIns="93296" tIns="46648" rIns="93296" bIns="46648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Geneva" charset="-128"/>
              <a:cs typeface="Geneva" charset="-128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Geneva" charset="-128"/>
              <a:cs typeface="Geneva" charset="-128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Geneva" charset="-128"/>
              <a:cs typeface="Geneva" charset="-128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Geneva" charset="-128"/>
              <a:cs typeface="Geneva" charset="-128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Geneva" charset="-128"/>
              <a:cs typeface="Geneva" charset="-128"/>
            </a:defRPr>
          </a:lvl5pPr>
          <a:lvl6pPr marL="2286000" algn="l" defTabSz="4572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Geneva" charset="-128"/>
              <a:cs typeface="Geneva" charset="-128"/>
            </a:defRPr>
          </a:lvl6pPr>
          <a:lvl7pPr marL="2743200" algn="l" defTabSz="4572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Geneva" charset="-128"/>
              <a:cs typeface="Geneva" charset="-128"/>
            </a:defRPr>
          </a:lvl7pPr>
          <a:lvl8pPr marL="3200400" algn="l" defTabSz="4572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Geneva" charset="-128"/>
              <a:cs typeface="Geneva" charset="-128"/>
            </a:defRPr>
          </a:lvl8pPr>
          <a:lvl9pPr marL="3657600" algn="l" defTabSz="4572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Geneva" charset="-128"/>
              <a:cs typeface="Geneva" charset="-128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201706</xdr:colOff>
      <xdr:row>26</xdr:row>
      <xdr:rowOff>156882</xdr:rowOff>
    </xdr:from>
    <xdr:to>
      <xdr:col>12</xdr:col>
      <xdr:colOff>280635</xdr:colOff>
      <xdr:row>26</xdr:row>
      <xdr:rowOff>156882</xdr:rowOff>
    </xdr:to>
    <xdr:cxnSp macro="">
      <xdr:nvCxnSpPr>
        <xdr:cNvPr id="3" name="Straight Arrow Connector 2"/>
        <xdr:cNvCxnSpPr/>
      </xdr:nvCxnSpPr>
      <xdr:spPr>
        <a:xfrm flipH="1" flipV="1">
          <a:off x="4516531" y="6100482"/>
          <a:ext cx="5793929" cy="0"/>
        </a:xfrm>
        <a:prstGeom prst="straightConnector1">
          <a:avLst/>
        </a:prstGeom>
        <a:ln w="19050">
          <a:solidFill>
            <a:sysClr val="windowText" lastClr="000000"/>
          </a:solidFill>
          <a:prstDash val="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315226</xdr:colOff>
      <xdr:row>16</xdr:row>
      <xdr:rowOff>130086</xdr:rowOff>
    </xdr:from>
    <xdr:to>
      <xdr:col>12</xdr:col>
      <xdr:colOff>339099</xdr:colOff>
      <xdr:row>26</xdr:row>
      <xdr:rowOff>172460</xdr:rowOff>
    </xdr:to>
    <xdr:cxnSp macro="">
      <xdr:nvCxnSpPr>
        <xdr:cNvPr id="4" name="Straight Connector 3"/>
        <xdr:cNvCxnSpPr/>
      </xdr:nvCxnSpPr>
      <xdr:spPr>
        <a:xfrm flipV="1">
          <a:off x="10345051" y="3787686"/>
          <a:ext cx="23873" cy="2328374"/>
        </a:xfrm>
        <a:prstGeom prst="line">
          <a:avLst/>
        </a:prstGeom>
        <a:ln w="190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432547</xdr:colOff>
      <xdr:row>23</xdr:row>
      <xdr:rowOff>96369</xdr:rowOff>
    </xdr:from>
    <xdr:ext cx="1367118" cy="609013"/>
    <xdr:sp macro="" textlink="">
      <xdr:nvSpPr>
        <xdr:cNvPr id="5" name="TextBox 4"/>
        <xdr:cNvSpPr txBox="1"/>
      </xdr:nvSpPr>
      <xdr:spPr>
        <a:xfrm>
          <a:off x="4747372" y="5354169"/>
          <a:ext cx="1367118" cy="6090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/>
            <a:t>Continuing</a:t>
          </a:r>
          <a:r>
            <a:rPr lang="en-US" sz="1100" baseline="0"/>
            <a:t> value must be discounted back to today.</a:t>
          </a:r>
          <a:endParaRPr lang="en-US" sz="1100"/>
        </a:p>
      </xdr:txBody>
    </xdr:sp>
    <xdr:clientData/>
  </xdr:oneCellAnchor>
  <xdr:twoCellAnchor>
    <xdr:from>
      <xdr:col>4</xdr:col>
      <xdr:colOff>112059</xdr:colOff>
      <xdr:row>26</xdr:row>
      <xdr:rowOff>156882</xdr:rowOff>
    </xdr:from>
    <xdr:to>
      <xdr:col>5</xdr:col>
      <xdr:colOff>89648</xdr:colOff>
      <xdr:row>28</xdr:row>
      <xdr:rowOff>201706</xdr:rowOff>
    </xdr:to>
    <xdr:sp macro="" textlink="">
      <xdr:nvSpPr>
        <xdr:cNvPr id="6" name="Oval 5"/>
        <xdr:cNvSpPr/>
      </xdr:nvSpPr>
      <xdr:spPr>
        <a:xfrm>
          <a:off x="3779184" y="6100482"/>
          <a:ext cx="625289" cy="5020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302559</xdr:colOff>
      <xdr:row>11</xdr:row>
      <xdr:rowOff>134471</xdr:rowOff>
    </xdr:from>
    <xdr:to>
      <xdr:col>8</xdr:col>
      <xdr:colOff>313764</xdr:colOff>
      <xdr:row>11</xdr:row>
      <xdr:rowOff>134471</xdr:rowOff>
    </xdr:to>
    <xdr:cxnSp macro="">
      <xdr:nvCxnSpPr>
        <xdr:cNvPr id="7" name="Straight Arrow Connector 6"/>
        <xdr:cNvCxnSpPr/>
      </xdr:nvCxnSpPr>
      <xdr:spPr>
        <a:xfrm>
          <a:off x="5912784" y="2649071"/>
          <a:ext cx="658905" cy="0"/>
        </a:xfrm>
        <a:prstGeom prst="straightConnector1">
          <a:avLst/>
        </a:prstGeom>
        <a:ln w="19050">
          <a:solidFill>
            <a:sysClr val="windowText" lastClr="000000"/>
          </a:solidFill>
          <a:prstDash val="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7"/>
  <sheetViews>
    <sheetView tabSelected="1" workbookViewId="0">
      <selection activeCell="B4" sqref="B4"/>
    </sheetView>
  </sheetViews>
  <sheetFormatPr defaultRowHeight="24.75" customHeight="1" x14ac:dyDescent="0.25"/>
  <sheetData>
    <row r="4" spans="2:2" ht="24.75" customHeight="1" x14ac:dyDescent="0.25">
      <c r="B4" s="1" t="s">
        <v>13</v>
      </c>
    </row>
    <row r="5" spans="2:2" ht="24.75" customHeight="1" x14ac:dyDescent="0.25">
      <c r="B5" t="s">
        <v>54</v>
      </c>
    </row>
    <row r="7" spans="2:2" ht="24.75" customHeight="1" x14ac:dyDescent="0.25">
      <c r="B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zoomScale="85" zoomScaleNormal="85" workbookViewId="0">
      <selection activeCell="A2" sqref="A2"/>
    </sheetView>
  </sheetViews>
  <sheetFormatPr defaultRowHeight="18" customHeight="1" x14ac:dyDescent="0.25"/>
  <cols>
    <col min="1" max="1" width="28" customWidth="1"/>
  </cols>
  <sheetData>
    <row r="2" spans="1:12" ht="18" customHeight="1" x14ac:dyDescent="0.25">
      <c r="A2" s="1" t="s">
        <v>13</v>
      </c>
    </row>
    <row r="3" spans="1:12" ht="18" customHeight="1" x14ac:dyDescent="0.25">
      <c r="A3" t="s">
        <v>0</v>
      </c>
    </row>
    <row r="5" spans="1:12" ht="18" customHeight="1" x14ac:dyDescent="0.25">
      <c r="B5" s="68" t="s">
        <v>1</v>
      </c>
      <c r="C5" s="68"/>
      <c r="D5" s="68"/>
      <c r="F5" s="68" t="s">
        <v>2</v>
      </c>
      <c r="G5" s="68"/>
      <c r="H5" s="68"/>
      <c r="J5" s="68" t="s">
        <v>13</v>
      </c>
      <c r="K5" s="68"/>
      <c r="L5" s="68"/>
    </row>
    <row r="7" spans="1:12" ht="18" customHeight="1" thickBot="1" x14ac:dyDescent="0.3">
      <c r="A7" s="2" t="s">
        <v>114</v>
      </c>
      <c r="B7" s="2">
        <f ca="1">YEAR(TODAY())-3</f>
        <v>2013</v>
      </c>
      <c r="C7" s="2">
        <f ca="1">start_year+1</f>
        <v>2014</v>
      </c>
      <c r="D7" s="2">
        <f ca="1">C7+1</f>
        <v>2015</v>
      </c>
      <c r="F7" s="2">
        <f ca="1">YEAR(TODAY())-3</f>
        <v>2013</v>
      </c>
      <c r="G7" s="2">
        <f ca="1">start_year+1</f>
        <v>2014</v>
      </c>
      <c r="H7" s="2">
        <f ca="1">G7+1</f>
        <v>2015</v>
      </c>
      <c r="J7" s="2">
        <f ca="1">YEAR(TODAY())-3</f>
        <v>2013</v>
      </c>
      <c r="K7" s="2">
        <f ca="1">start_year+1</f>
        <v>2014</v>
      </c>
      <c r="L7" s="2">
        <f ca="1">K7+1</f>
        <v>2015</v>
      </c>
    </row>
    <row r="8" spans="1:12" ht="18" customHeight="1" x14ac:dyDescent="0.25">
      <c r="A8" t="s">
        <v>3</v>
      </c>
      <c r="B8" s="3">
        <v>274.10000000000002</v>
      </c>
      <c r="C8" s="3">
        <v>285.3381</v>
      </c>
      <c r="D8" s="3">
        <v>301.03169549999996</v>
      </c>
      <c r="F8" s="3">
        <v>98.3</v>
      </c>
      <c r="G8" s="3">
        <v>90.239400000000003</v>
      </c>
      <c r="H8" s="3">
        <v>91.412512199999995</v>
      </c>
      <c r="J8" s="3">
        <v>372.40000000000003</v>
      </c>
      <c r="K8" s="3">
        <v>375.57749999999999</v>
      </c>
      <c r="L8" s="3">
        <v>392.44420769999994</v>
      </c>
    </row>
    <row r="9" spans="1:12" ht="18" customHeight="1" x14ac:dyDescent="0.25">
      <c r="A9" t="s">
        <v>4</v>
      </c>
      <c r="B9" s="3">
        <v>-82.504100000000008</v>
      </c>
      <c r="C9" s="3">
        <v>-90.166839600000003</v>
      </c>
      <c r="D9" s="3">
        <v>-97.534269341999988</v>
      </c>
      <c r="F9" s="3">
        <v>-52.885400000000004</v>
      </c>
      <c r="G9" s="3">
        <v>-49.992627600000006</v>
      </c>
      <c r="H9" s="3">
        <v>-51.373831856400002</v>
      </c>
      <c r="J9" s="3">
        <v>-135.3895</v>
      </c>
      <c r="K9" s="3">
        <v>-140.15946719999999</v>
      </c>
      <c r="L9" s="3">
        <v>-148.9081011984</v>
      </c>
    </row>
    <row r="10" spans="1:12" ht="18" customHeight="1" x14ac:dyDescent="0.25">
      <c r="A10" s="4" t="s">
        <v>5</v>
      </c>
      <c r="B10" s="5">
        <v>-83.326400000000007</v>
      </c>
      <c r="C10" s="5">
        <v>-84.460077599999991</v>
      </c>
      <c r="D10" s="5">
        <v>-85.493001521999986</v>
      </c>
      <c r="F10" s="5">
        <v>-24.771599999999999</v>
      </c>
      <c r="G10" s="5">
        <v>-23.732962200000003</v>
      </c>
      <c r="H10" s="5">
        <v>-24.681378294000002</v>
      </c>
      <c r="J10" s="5">
        <v>-108.09800000000001</v>
      </c>
      <c r="K10" s="5">
        <v>-108.19303979999999</v>
      </c>
      <c r="L10" s="5">
        <v>-110.17437981599998</v>
      </c>
    </row>
    <row r="11" spans="1:12" ht="18" customHeight="1" x14ac:dyDescent="0.25">
      <c r="A11" t="s">
        <v>6</v>
      </c>
      <c r="B11" s="3">
        <f>SUM(B8:B10)</f>
        <v>108.26950000000002</v>
      </c>
      <c r="C11" s="3">
        <f>SUM(C8:C10)</f>
        <v>110.7111828</v>
      </c>
      <c r="D11" s="3">
        <f>SUM(D8:D10)</f>
        <v>118.00442463599998</v>
      </c>
      <c r="F11" s="3">
        <f>SUM(F8:F10)</f>
        <v>20.642999999999994</v>
      </c>
      <c r="G11" s="3">
        <f>SUM(G8:G10)</f>
        <v>16.513810199999995</v>
      </c>
      <c r="H11" s="3">
        <f>SUM(H8:H10)</f>
        <v>15.357302049599991</v>
      </c>
      <c r="J11" s="3">
        <f>SUM(J8:J10)</f>
        <v>128.91250000000002</v>
      </c>
      <c r="K11" s="3">
        <f>SUM(K8:K10)</f>
        <v>127.224993</v>
      </c>
      <c r="L11" s="3">
        <f>SUM(L8:L10)</f>
        <v>133.36172668559993</v>
      </c>
    </row>
    <row r="12" spans="1:12" ht="18" customHeight="1" x14ac:dyDescent="0.25">
      <c r="B12" s="3"/>
      <c r="C12" s="3"/>
      <c r="D12" s="3"/>
      <c r="F12" s="3"/>
      <c r="G12" s="3"/>
      <c r="H12" s="3"/>
      <c r="J12" s="3"/>
      <c r="K12" s="3"/>
      <c r="L12" s="3"/>
    </row>
    <row r="13" spans="1:12" ht="18" customHeight="1" x14ac:dyDescent="0.25">
      <c r="A13" s="4" t="s">
        <v>7</v>
      </c>
      <c r="B13" s="5">
        <v>-78.666700000000006</v>
      </c>
      <c r="C13" s="5">
        <v>-81.321358499999988</v>
      </c>
      <c r="D13" s="5">
        <v>-86.396096608499974</v>
      </c>
      <c r="F13" s="5">
        <v>-12.779</v>
      </c>
      <c r="G13" s="5">
        <v>-9.7458551999999994</v>
      </c>
      <c r="H13" s="5">
        <v>-8.6841886590000001</v>
      </c>
      <c r="J13" s="5">
        <v>-91.445700000000002</v>
      </c>
      <c r="K13" s="5">
        <v>-91.067213699999982</v>
      </c>
      <c r="L13" s="5">
        <v>-95.080285267499974</v>
      </c>
    </row>
    <row r="14" spans="1:12" ht="18" customHeight="1" x14ac:dyDescent="0.25">
      <c r="A14" s="6" t="s">
        <v>8</v>
      </c>
      <c r="B14" s="3">
        <f>SUM(B11:B13)</f>
        <v>29.602800000000016</v>
      </c>
      <c r="C14" s="3">
        <f>SUM(C11:C13)</f>
        <v>29.389824300000015</v>
      </c>
      <c r="D14" s="3">
        <f>SUM(D11:D13)</f>
        <v>31.608328027500008</v>
      </c>
      <c r="F14" s="3">
        <f>SUM(F11:F13)</f>
        <v>7.8639999999999937</v>
      </c>
      <c r="G14" s="3">
        <f>SUM(G11:G13)</f>
        <v>6.7679549999999953</v>
      </c>
      <c r="H14" s="3">
        <f>SUM(H11:H13)</f>
        <v>6.6731133905999904</v>
      </c>
      <c r="J14" s="3">
        <f>SUM(J11:J13)</f>
        <v>37.466800000000021</v>
      </c>
      <c r="K14" s="3">
        <f>SUM(K11:K13)</f>
        <v>36.157779300000016</v>
      </c>
      <c r="L14" s="3">
        <f>SUM(L11:L13)</f>
        <v>38.281441418099959</v>
      </c>
    </row>
    <row r="16" spans="1:12" ht="18" customHeight="1" x14ac:dyDescent="0.25">
      <c r="H16" s="4" t="s">
        <v>9</v>
      </c>
      <c r="I16" s="4"/>
      <c r="J16" s="5">
        <v>-3.006541799999999</v>
      </c>
      <c r="K16" s="5">
        <v>-3.3406019999999987</v>
      </c>
      <c r="L16" s="5">
        <v>-2.195683661399999</v>
      </c>
    </row>
    <row r="17" spans="1:12" ht="18" customHeight="1" x14ac:dyDescent="0.25">
      <c r="H17" t="s">
        <v>10</v>
      </c>
      <c r="J17" s="3">
        <f>SUM(J14:J16)</f>
        <v>34.46025820000002</v>
      </c>
      <c r="K17" s="3">
        <f>SUM(K14:K16)</f>
        <v>32.817177300000019</v>
      </c>
      <c r="L17" s="3">
        <f>SUM(L14:L16)</f>
        <v>36.085757756699962</v>
      </c>
    </row>
    <row r="18" spans="1:12" ht="18" customHeight="1" x14ac:dyDescent="0.25">
      <c r="J18" s="3"/>
      <c r="K18" s="3"/>
      <c r="L18" s="3"/>
    </row>
    <row r="19" spans="1:12" ht="18" customHeight="1" x14ac:dyDescent="0.25">
      <c r="H19" s="4" t="s">
        <v>11</v>
      </c>
      <c r="I19" s="4"/>
      <c r="J19" s="3">
        <v>-10.338077460000006</v>
      </c>
      <c r="K19" s="3">
        <v>-9.8451531900000049</v>
      </c>
      <c r="L19" s="3">
        <v>-10.825727327009988</v>
      </c>
    </row>
    <row r="20" spans="1:12" ht="18" customHeight="1" thickBot="1" x14ac:dyDescent="0.3">
      <c r="H20" s="7" t="s">
        <v>12</v>
      </c>
      <c r="I20" s="7"/>
      <c r="J20" s="8">
        <f>SUM(J17:J19)</f>
        <v>24.122180740000012</v>
      </c>
      <c r="K20" s="8">
        <f>SUM(K17:K19)</f>
        <v>22.972024110000014</v>
      </c>
      <c r="L20" s="8">
        <f>SUM(L17:L19)</f>
        <v>25.260030429689976</v>
      </c>
    </row>
    <row r="21" spans="1:12" ht="18" customHeight="1" thickTop="1" x14ac:dyDescent="0.25">
      <c r="A21" s="1" t="s">
        <v>13</v>
      </c>
    </row>
    <row r="22" spans="1:12" ht="18" customHeight="1" x14ac:dyDescent="0.25">
      <c r="A22" t="s">
        <v>14</v>
      </c>
    </row>
    <row r="24" spans="1:12" ht="18" customHeight="1" thickBot="1" x14ac:dyDescent="0.3">
      <c r="A24" s="2" t="str">
        <f>currency</f>
        <v>$ MEX</v>
      </c>
      <c r="B24" s="2">
        <f ca="1">YEAR(TODAY())-3</f>
        <v>2013</v>
      </c>
      <c r="C24" s="2">
        <f ca="1">start_year+1</f>
        <v>2014</v>
      </c>
      <c r="D24" s="2">
        <f ca="1">C24+1</f>
        <v>2015</v>
      </c>
      <c r="F24" s="2">
        <f ca="1">YEAR(TODAY())-3</f>
        <v>2013</v>
      </c>
      <c r="G24" s="2">
        <f ca="1">start_year+1</f>
        <v>2014</v>
      </c>
      <c r="H24" s="2">
        <f ca="1">G24+1</f>
        <v>2015</v>
      </c>
      <c r="J24" s="2">
        <f ca="1">YEAR(TODAY())-3</f>
        <v>2013</v>
      </c>
      <c r="K24" s="2">
        <f ca="1">start_year+1</f>
        <v>2014</v>
      </c>
      <c r="L24" s="2">
        <f ca="1">K24+1</f>
        <v>2015</v>
      </c>
    </row>
    <row r="25" spans="1:12" ht="18" customHeight="1" x14ac:dyDescent="0.25">
      <c r="A25" t="s">
        <v>15</v>
      </c>
      <c r="B25" s="3">
        <v>55.368200000000009</v>
      </c>
      <c r="C25" s="3">
        <v>57.923634300000003</v>
      </c>
      <c r="D25" s="3">
        <v>59.905307404499993</v>
      </c>
      <c r="F25" s="3">
        <v>24.673300000000001</v>
      </c>
      <c r="G25" s="3">
        <v>23.191525800000001</v>
      </c>
      <c r="H25" s="3">
        <v>23.035953074399998</v>
      </c>
      <c r="J25" s="3">
        <v>80.041500000000013</v>
      </c>
      <c r="K25" s="3">
        <v>81.115160099999997</v>
      </c>
      <c r="L25" s="3">
        <v>82.941260478899991</v>
      </c>
    </row>
    <row r="26" spans="1:12" ht="18" customHeight="1" x14ac:dyDescent="0.25">
      <c r="A26" t="s">
        <v>16</v>
      </c>
      <c r="B26" s="3">
        <v>113.2033</v>
      </c>
      <c r="C26" s="3">
        <v>116.1326067</v>
      </c>
      <c r="D26" s="3">
        <v>124.02505854599997</v>
      </c>
      <c r="F26" s="3">
        <v>58.291899999999998</v>
      </c>
      <c r="G26" s="3">
        <v>58.655610000000003</v>
      </c>
      <c r="H26" s="3">
        <v>58.595420320199999</v>
      </c>
      <c r="J26" s="5">
        <v>171.49520000000001</v>
      </c>
      <c r="K26" s="5">
        <v>174.78821669999999</v>
      </c>
      <c r="L26" s="5">
        <v>182.62047886619996</v>
      </c>
    </row>
    <row r="27" spans="1:12" ht="18" customHeight="1" thickBot="1" x14ac:dyDescent="0.3">
      <c r="A27" s="7" t="s">
        <v>17</v>
      </c>
      <c r="B27" s="8">
        <f>SUM(B25:B26)</f>
        <v>168.57150000000001</v>
      </c>
      <c r="C27" s="8">
        <f>SUM(C25:C26)</f>
        <v>174.056241</v>
      </c>
      <c r="D27" s="8">
        <f>SUM(D25:D26)</f>
        <v>183.93036595049995</v>
      </c>
      <c r="F27" s="8">
        <f>SUM(F25:F26)</f>
        <v>82.965199999999996</v>
      </c>
      <c r="G27" s="8">
        <f>SUM(G25:G26)</f>
        <v>81.847135800000004</v>
      </c>
      <c r="H27" s="8">
        <f>SUM(H25:H26)</f>
        <v>81.63137339459999</v>
      </c>
      <c r="I27" s="9"/>
      <c r="J27" s="8">
        <f t="shared" ref="J27:L27" si="0">B27+F27</f>
        <v>251.5367</v>
      </c>
      <c r="K27" s="8">
        <f t="shared" si="0"/>
        <v>255.90337679999999</v>
      </c>
      <c r="L27" s="8">
        <f t="shared" si="0"/>
        <v>265.56173934509991</v>
      </c>
    </row>
    <row r="28" spans="1:12" ht="18" customHeight="1" thickTop="1" x14ac:dyDescent="0.25">
      <c r="A28" s="9"/>
      <c r="B28" s="10"/>
      <c r="C28" s="10"/>
      <c r="D28" s="10"/>
      <c r="F28" s="10"/>
      <c r="G28" s="10"/>
      <c r="H28" s="10"/>
      <c r="I28" s="9"/>
      <c r="J28" s="10"/>
      <c r="K28" s="10"/>
      <c r="L28" s="10"/>
    </row>
    <row r="29" spans="1:12" ht="18" customHeight="1" x14ac:dyDescent="0.25">
      <c r="B29" s="3"/>
      <c r="C29" s="3"/>
      <c r="D29" s="3"/>
      <c r="F29" s="3"/>
      <c r="G29" s="3"/>
      <c r="H29" s="3"/>
      <c r="I29" s="9"/>
    </row>
    <row r="30" spans="1:12" ht="18" customHeight="1" thickBot="1" x14ac:dyDescent="0.3">
      <c r="A30" s="2" t="str">
        <f>currency</f>
        <v>$ MEX</v>
      </c>
      <c r="B30" s="11">
        <f ca="1">YEAR(TODAY())-3</f>
        <v>2013</v>
      </c>
      <c r="C30" s="11">
        <f ca="1">start_year+1</f>
        <v>2014</v>
      </c>
      <c r="D30" s="11">
        <f ca="1">C30+1</f>
        <v>2015</v>
      </c>
      <c r="F30" s="11">
        <f ca="1">YEAR(TODAY())-3</f>
        <v>2013</v>
      </c>
      <c r="G30" s="11">
        <f ca="1">start_year+1</f>
        <v>2014</v>
      </c>
      <c r="H30" s="11">
        <f ca="1">G30+1</f>
        <v>2015</v>
      </c>
      <c r="I30" s="9"/>
      <c r="J30" s="11">
        <f ca="1">YEAR(TODAY())-3</f>
        <v>2013</v>
      </c>
      <c r="K30" s="11">
        <f ca="1">start_year+1</f>
        <v>2014</v>
      </c>
      <c r="L30" s="11">
        <f ca="1">K30+1</f>
        <v>2015</v>
      </c>
    </row>
    <row r="31" spans="1:12" ht="18" customHeight="1" x14ac:dyDescent="0.25">
      <c r="A31" t="s">
        <v>18</v>
      </c>
      <c r="B31" s="3">
        <v>41.115000000000002</v>
      </c>
      <c r="C31" s="3">
        <v>42.800714999999997</v>
      </c>
      <c r="D31" s="3">
        <v>45.154754324999992</v>
      </c>
      <c r="F31" s="3">
        <v>14.744999999999999</v>
      </c>
      <c r="G31" s="3">
        <v>13.535909999999999</v>
      </c>
      <c r="H31" s="3">
        <v>13.71187683</v>
      </c>
      <c r="I31" s="9"/>
      <c r="J31" s="3">
        <v>55.86</v>
      </c>
      <c r="K31" s="3">
        <v>56.336624999999998</v>
      </c>
      <c r="L31" s="3">
        <v>58.866631154999993</v>
      </c>
    </row>
    <row r="33" spans="2:12" ht="18" customHeight="1" x14ac:dyDescent="0.25">
      <c r="D33" s="3"/>
      <c r="H33" t="s">
        <v>19</v>
      </c>
      <c r="I33" s="9"/>
      <c r="J33" s="3">
        <v>55.676699999999983</v>
      </c>
      <c r="K33" s="3">
        <v>36.594727689999985</v>
      </c>
      <c r="L33" s="3">
        <v>18.463053650409933</v>
      </c>
    </row>
    <row r="34" spans="2:12" ht="18" customHeight="1" x14ac:dyDescent="0.25">
      <c r="B34" s="9"/>
      <c r="C34" s="9"/>
      <c r="D34" s="9"/>
      <c r="G34" s="9"/>
      <c r="H34" s="9" t="s">
        <v>20</v>
      </c>
      <c r="J34" s="3">
        <v>140</v>
      </c>
      <c r="K34" s="3">
        <v>162.97202411000001</v>
      </c>
      <c r="L34" s="3">
        <v>188.23205453968998</v>
      </c>
    </row>
    <row r="35" spans="2:12" ht="18" customHeight="1" thickBot="1" x14ac:dyDescent="0.3">
      <c r="H35" s="12" t="s">
        <v>21</v>
      </c>
      <c r="I35" s="7"/>
      <c r="J35" s="8">
        <f>J27</f>
        <v>251.5367</v>
      </c>
      <c r="K35" s="8">
        <f>K27</f>
        <v>255.90337679999999</v>
      </c>
      <c r="L35" s="8">
        <f>L27</f>
        <v>265.56173934509991</v>
      </c>
    </row>
    <row r="36" spans="2:12" ht="18" customHeight="1" thickTop="1" x14ac:dyDescent="0.25"/>
  </sheetData>
  <mergeCells count="3">
    <mergeCell ref="B5:D5"/>
    <mergeCell ref="F5:H5"/>
    <mergeCell ref="J5:L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opLeftCell="A19" zoomScale="120" zoomScaleNormal="120" workbookViewId="0">
      <selection activeCell="A2" sqref="A2"/>
    </sheetView>
  </sheetViews>
  <sheetFormatPr defaultRowHeight="18" customHeight="1" x14ac:dyDescent="0.25"/>
  <cols>
    <col min="1" max="1" width="28" customWidth="1"/>
  </cols>
  <sheetData>
    <row r="2" spans="1:12" ht="18" customHeight="1" x14ac:dyDescent="0.25">
      <c r="A2" s="1" t="s">
        <v>13</v>
      </c>
    </row>
    <row r="3" spans="1:12" ht="18" customHeight="1" x14ac:dyDescent="0.25">
      <c r="A3" t="s">
        <v>22</v>
      </c>
    </row>
    <row r="5" spans="1:12" ht="18" customHeight="1" x14ac:dyDescent="0.25">
      <c r="B5" s="68" t="s">
        <v>1</v>
      </c>
      <c r="C5" s="68"/>
      <c r="D5" s="68"/>
      <c r="F5" s="68" t="s">
        <v>2</v>
      </c>
      <c r="G5" s="68"/>
      <c r="H5" s="68"/>
      <c r="J5" s="68" t="str">
        <f>A2</f>
        <v>Diablo Glass</v>
      </c>
      <c r="K5" s="68"/>
      <c r="L5" s="68"/>
    </row>
    <row r="7" spans="1:12" ht="18" customHeight="1" thickBot="1" x14ac:dyDescent="0.3">
      <c r="A7" s="2" t="str">
        <f>currency</f>
        <v>$ MEX</v>
      </c>
      <c r="B7" s="2">
        <f ca="1">YEAR(TODAY())-3</f>
        <v>2013</v>
      </c>
      <c r="C7" s="2">
        <f ca="1">start_year+1</f>
        <v>2014</v>
      </c>
      <c r="D7" s="2">
        <f ca="1">C7+1</f>
        <v>2015</v>
      </c>
      <c r="F7" s="2">
        <f ca="1">YEAR(TODAY())-3</f>
        <v>2013</v>
      </c>
      <c r="G7" s="2">
        <f ca="1">start_year+1</f>
        <v>2014</v>
      </c>
      <c r="H7" s="2">
        <f ca="1">G7+1</f>
        <v>2015</v>
      </c>
      <c r="J7" s="2">
        <f ca="1">YEAR(TODAY())-3</f>
        <v>2013</v>
      </c>
      <c r="K7" s="2">
        <f ca="1">start_year+1</f>
        <v>2014</v>
      </c>
      <c r="L7" s="2">
        <f ca="1">K7+1</f>
        <v>2015</v>
      </c>
    </row>
    <row r="8" spans="1:12" ht="18" customHeight="1" x14ac:dyDescent="0.25">
      <c r="A8" t="s">
        <v>3</v>
      </c>
      <c r="B8" s="3">
        <f>Financials!B8</f>
        <v>274.10000000000002</v>
      </c>
      <c r="C8" s="3">
        <f>Financials!C8</f>
        <v>285.3381</v>
      </c>
      <c r="D8" s="3">
        <f>Financials!D8</f>
        <v>301.03169549999996</v>
      </c>
      <c r="F8" s="3">
        <f>Financials!F8</f>
        <v>98.3</v>
      </c>
      <c r="G8" s="3">
        <f>Financials!G8</f>
        <v>90.239400000000003</v>
      </c>
      <c r="H8" s="3">
        <f>Financials!H8</f>
        <v>91.412512199999995</v>
      </c>
      <c r="J8" s="3">
        <f>Financials!J8</f>
        <v>372.40000000000003</v>
      </c>
      <c r="K8" s="3">
        <f>Financials!K8</f>
        <v>375.57749999999999</v>
      </c>
      <c r="L8" s="3">
        <f>Financials!L8</f>
        <v>392.44420769999994</v>
      </c>
    </row>
    <row r="9" spans="1:12" ht="18" customHeight="1" x14ac:dyDescent="0.25">
      <c r="A9" t="s">
        <v>4</v>
      </c>
      <c r="B9" s="3">
        <f>Financials!B9</f>
        <v>-82.504100000000008</v>
      </c>
      <c r="C9" s="3">
        <f>Financials!C9</f>
        <v>-90.166839600000003</v>
      </c>
      <c r="D9" s="3">
        <f>Financials!D9</f>
        <v>-97.534269341999988</v>
      </c>
      <c r="F9" s="3">
        <f>Financials!F9</f>
        <v>-52.885400000000004</v>
      </c>
      <c r="G9" s="3">
        <f>Financials!G9</f>
        <v>-49.992627600000006</v>
      </c>
      <c r="H9" s="3">
        <f>Financials!H9</f>
        <v>-51.373831856400002</v>
      </c>
      <c r="J9" s="3">
        <f>Financials!J9</f>
        <v>-135.3895</v>
      </c>
      <c r="K9" s="3">
        <f>Financials!K9</f>
        <v>-140.15946719999999</v>
      </c>
      <c r="L9" s="3">
        <f>Financials!L9</f>
        <v>-148.9081011984</v>
      </c>
    </row>
    <row r="10" spans="1:12" ht="18" customHeight="1" x14ac:dyDescent="0.25">
      <c r="A10" s="4" t="s">
        <v>5</v>
      </c>
      <c r="B10" s="5">
        <f>Financials!B10</f>
        <v>-83.326400000000007</v>
      </c>
      <c r="C10" s="5">
        <f>Financials!C10</f>
        <v>-84.460077599999991</v>
      </c>
      <c r="D10" s="5">
        <f>Financials!D10</f>
        <v>-85.493001521999986</v>
      </c>
      <c r="F10" s="5">
        <f>Financials!F10</f>
        <v>-24.771599999999999</v>
      </c>
      <c r="G10" s="5">
        <f>Financials!G10</f>
        <v>-23.732962200000003</v>
      </c>
      <c r="H10" s="5">
        <f>Financials!H10</f>
        <v>-24.681378294000002</v>
      </c>
      <c r="J10" s="5">
        <f>Financials!J10</f>
        <v>-108.09800000000001</v>
      </c>
      <c r="K10" s="5">
        <f>Financials!K10</f>
        <v>-108.19303979999999</v>
      </c>
      <c r="L10" s="5">
        <f>Financials!L10</f>
        <v>-110.17437981599998</v>
      </c>
    </row>
    <row r="11" spans="1:12" ht="18" customHeight="1" x14ac:dyDescent="0.25">
      <c r="A11" t="s">
        <v>6</v>
      </c>
      <c r="B11" s="3">
        <f>SUM(B8:B10)</f>
        <v>108.26950000000002</v>
      </c>
      <c r="C11" s="3">
        <f t="shared" ref="C11:L11" si="0">SUM(C8:C10)</f>
        <v>110.7111828</v>
      </c>
      <c r="D11" s="3">
        <f t="shared" si="0"/>
        <v>118.00442463599998</v>
      </c>
      <c r="F11" s="3">
        <f t="shared" si="0"/>
        <v>20.642999999999994</v>
      </c>
      <c r="G11" s="3">
        <f t="shared" si="0"/>
        <v>16.513810199999995</v>
      </c>
      <c r="H11" s="3">
        <f t="shared" si="0"/>
        <v>15.357302049599991</v>
      </c>
      <c r="J11" s="3">
        <f t="shared" si="0"/>
        <v>128.91250000000002</v>
      </c>
      <c r="K11" s="3">
        <f t="shared" si="0"/>
        <v>127.224993</v>
      </c>
      <c r="L11" s="3">
        <f t="shared" si="0"/>
        <v>133.36172668559993</v>
      </c>
    </row>
    <row r="12" spans="1:12" ht="18" customHeight="1" x14ac:dyDescent="0.25">
      <c r="B12" s="3"/>
      <c r="C12" s="3"/>
      <c r="D12" s="3"/>
      <c r="F12" s="3"/>
      <c r="G12" s="3"/>
      <c r="H12" s="3"/>
      <c r="J12" s="3"/>
      <c r="K12" s="3"/>
      <c r="L12" s="3"/>
    </row>
    <row r="13" spans="1:12" ht="18" customHeight="1" x14ac:dyDescent="0.25">
      <c r="A13" s="4" t="s">
        <v>7</v>
      </c>
      <c r="B13" s="5">
        <f>Financials!B13</f>
        <v>-78.666700000000006</v>
      </c>
      <c r="C13" s="5">
        <f>Financials!C13</f>
        <v>-81.321358499999988</v>
      </c>
      <c r="D13" s="5">
        <f>Financials!D13</f>
        <v>-86.396096608499974</v>
      </c>
      <c r="F13" s="5">
        <f>Financials!F13</f>
        <v>-12.779</v>
      </c>
      <c r="G13" s="5">
        <f>Financials!G13</f>
        <v>-9.7458551999999994</v>
      </c>
      <c r="H13" s="5">
        <f>Financials!H13</f>
        <v>-8.6841886590000001</v>
      </c>
      <c r="J13" s="5">
        <f>Financials!J13</f>
        <v>-91.445700000000002</v>
      </c>
      <c r="K13" s="5">
        <f>Financials!K13</f>
        <v>-91.067213699999982</v>
      </c>
      <c r="L13" s="5">
        <f>Financials!L13</f>
        <v>-95.080285267499974</v>
      </c>
    </row>
    <row r="14" spans="1:12" ht="18" customHeight="1" x14ac:dyDescent="0.25">
      <c r="A14" s="6" t="s">
        <v>8</v>
      </c>
      <c r="B14" s="3">
        <f>SUM(B11:B13)</f>
        <v>29.602800000000016</v>
      </c>
      <c r="C14" s="3">
        <f t="shared" ref="C14:L14" si="1">SUM(C11:C13)</f>
        <v>29.389824300000015</v>
      </c>
      <c r="D14" s="3">
        <f t="shared" si="1"/>
        <v>31.608328027500008</v>
      </c>
      <c r="F14" s="3">
        <f t="shared" si="1"/>
        <v>7.8639999999999937</v>
      </c>
      <c r="G14" s="3">
        <f t="shared" si="1"/>
        <v>6.7679549999999953</v>
      </c>
      <c r="H14" s="3">
        <f t="shared" si="1"/>
        <v>6.6731133905999904</v>
      </c>
      <c r="J14" s="3">
        <f t="shared" si="1"/>
        <v>37.466800000000021</v>
      </c>
      <c r="K14" s="3">
        <f t="shared" si="1"/>
        <v>36.157779300000016</v>
      </c>
      <c r="L14" s="3">
        <f t="shared" si="1"/>
        <v>38.281441418099959</v>
      </c>
    </row>
    <row r="16" spans="1:12" ht="18" customHeight="1" x14ac:dyDescent="0.25">
      <c r="A16" s="4" t="s">
        <v>23</v>
      </c>
      <c r="B16" s="5">
        <f>-B14*tax_rate</f>
        <v>-8.8808400000000045</v>
      </c>
      <c r="C16" s="5">
        <f>-C14*tax_rate</f>
        <v>-8.8169472900000034</v>
      </c>
      <c r="D16" s="5">
        <f>-D14*tax_rate</f>
        <v>-9.4824984082500023</v>
      </c>
      <c r="F16" s="5">
        <f>-F14*tax_rate</f>
        <v>-2.3591999999999982</v>
      </c>
      <c r="G16" s="5">
        <f>-G14*tax_rate</f>
        <v>-2.0303864999999983</v>
      </c>
      <c r="H16" s="5">
        <f>-H14*tax_rate</f>
        <v>-2.0019340171799969</v>
      </c>
      <c r="J16" s="5">
        <f>-J14*tax_rate</f>
        <v>-11.240040000000006</v>
      </c>
      <c r="K16" s="5">
        <f>-K14*tax_rate</f>
        <v>-10.847333790000004</v>
      </c>
      <c r="L16" s="5">
        <f>-L14*tax_rate</f>
        <v>-11.484432425429988</v>
      </c>
    </row>
    <row r="17" spans="1:12" ht="18" customHeight="1" x14ac:dyDescent="0.25">
      <c r="A17" t="s">
        <v>24</v>
      </c>
      <c r="B17" s="3">
        <f>SUM(B14:B16)</f>
        <v>20.72196000000001</v>
      </c>
      <c r="C17" s="3">
        <f>SUM(C14:C16)</f>
        <v>20.572877010000013</v>
      </c>
      <c r="D17" s="3">
        <f>SUM(D14:D16)</f>
        <v>22.125829619250005</v>
      </c>
      <c r="F17" s="3">
        <f>SUM(F14:F16)</f>
        <v>5.5047999999999959</v>
      </c>
      <c r="G17" s="3">
        <f>SUM(G14:G16)</f>
        <v>4.7375684999999965</v>
      </c>
      <c r="H17" s="3">
        <f>SUM(H14:H16)</f>
        <v>4.671179373419994</v>
      </c>
      <c r="J17" s="3">
        <f>SUM(J14:J16)</f>
        <v>26.226760000000013</v>
      </c>
      <c r="K17" s="3">
        <f>SUM(K14:K16)</f>
        <v>25.310445510000012</v>
      </c>
      <c r="L17" s="3">
        <f>SUM(L14:L16)</f>
        <v>26.797008992669973</v>
      </c>
    </row>
    <row r="20" spans="1:12" ht="18" customHeight="1" x14ac:dyDescent="0.25">
      <c r="A20" s="1" t="s">
        <v>13</v>
      </c>
    </row>
    <row r="21" spans="1:12" ht="18" customHeight="1" x14ac:dyDescent="0.25">
      <c r="A21" t="s">
        <v>25</v>
      </c>
      <c r="I21" s="9"/>
    </row>
    <row r="23" spans="1:12" ht="18" customHeight="1" thickBot="1" x14ac:dyDescent="0.3">
      <c r="A23" s="2" t="str">
        <f>currency</f>
        <v>$ MEX</v>
      </c>
      <c r="B23" s="2">
        <f ca="1">YEAR(TODAY())-3</f>
        <v>2013</v>
      </c>
      <c r="C23" s="2">
        <f ca="1">start_year+1</f>
        <v>2014</v>
      </c>
      <c r="D23" s="2">
        <f ca="1">C23+1</f>
        <v>2015</v>
      </c>
      <c r="F23" s="2">
        <f ca="1">YEAR(TODAY())-3</f>
        <v>2013</v>
      </c>
      <c r="G23" s="2">
        <f ca="1">start_year+1</f>
        <v>2014</v>
      </c>
      <c r="H23" s="2">
        <f ca="1">G23+1</f>
        <v>2015</v>
      </c>
      <c r="J23" s="2">
        <f ca="1">YEAR(TODAY())-3</f>
        <v>2013</v>
      </c>
      <c r="K23" s="2">
        <f ca="1">start_year+1</f>
        <v>2014</v>
      </c>
      <c r="L23" s="2">
        <f ca="1">K23+1</f>
        <v>2015</v>
      </c>
    </row>
    <row r="24" spans="1:12" ht="18" customHeight="1" x14ac:dyDescent="0.25">
      <c r="A24" t="s">
        <v>15</v>
      </c>
      <c r="B24" s="3">
        <f>Financials!B25</f>
        <v>55.368200000000009</v>
      </c>
      <c r="C24" s="3">
        <f>Financials!C25</f>
        <v>57.923634300000003</v>
      </c>
      <c r="D24" s="3">
        <f>Financials!D25</f>
        <v>59.905307404499993</v>
      </c>
      <c r="F24" s="3">
        <f>Financials!F25</f>
        <v>24.673300000000001</v>
      </c>
      <c r="G24" s="3">
        <f>Financials!G25</f>
        <v>23.191525800000001</v>
      </c>
      <c r="H24" s="3">
        <f>Financials!H25</f>
        <v>23.035953074399998</v>
      </c>
      <c r="J24" s="3">
        <f>Financials!J25</f>
        <v>80.041500000000013</v>
      </c>
      <c r="K24" s="3">
        <f>Financials!K25</f>
        <v>81.115160099999997</v>
      </c>
      <c r="L24" s="3">
        <f>Financials!L25</f>
        <v>82.941260478899991</v>
      </c>
    </row>
    <row r="25" spans="1:12" ht="18" customHeight="1" x14ac:dyDescent="0.25">
      <c r="A25" s="4" t="s">
        <v>18</v>
      </c>
      <c r="B25" s="5">
        <f>-Financials!B31</f>
        <v>-41.115000000000002</v>
      </c>
      <c r="C25" s="5">
        <f>-Financials!C31</f>
        <v>-42.800714999999997</v>
      </c>
      <c r="D25" s="5">
        <f>-Financials!D31</f>
        <v>-45.154754324999992</v>
      </c>
      <c r="F25" s="5">
        <f>-Financials!F31</f>
        <v>-14.744999999999999</v>
      </c>
      <c r="G25" s="5">
        <f>-Financials!G31</f>
        <v>-13.535909999999999</v>
      </c>
      <c r="H25" s="5">
        <f>-Financials!H31</f>
        <v>-13.71187683</v>
      </c>
      <c r="J25" s="5">
        <f>-Financials!J31</f>
        <v>-55.86</v>
      </c>
      <c r="K25" s="5">
        <f>-Financials!K31</f>
        <v>-56.336624999999998</v>
      </c>
      <c r="L25" s="5">
        <f>-Financials!L31</f>
        <v>-58.866631154999993</v>
      </c>
    </row>
    <row r="26" spans="1:12" ht="18" customHeight="1" x14ac:dyDescent="0.25">
      <c r="A26" t="s">
        <v>26</v>
      </c>
      <c r="B26" s="3">
        <f>SUM(B24:B25)</f>
        <v>14.253200000000007</v>
      </c>
      <c r="C26" s="3">
        <f>SUM(C24:C25)</f>
        <v>15.122919300000007</v>
      </c>
      <c r="D26" s="3">
        <f>SUM(D24:D25)</f>
        <v>14.750553079500001</v>
      </c>
      <c r="F26" s="3">
        <f>SUM(F24:F25)</f>
        <v>9.9283000000000019</v>
      </c>
      <c r="G26" s="3">
        <f>SUM(G24:G25)</f>
        <v>9.6556158000000014</v>
      </c>
      <c r="H26" s="3">
        <f t="shared" ref="H26:L26" si="2">SUM(H24:H25)</f>
        <v>9.3240762443999987</v>
      </c>
      <c r="J26" s="3">
        <f t="shared" si="2"/>
        <v>24.181500000000014</v>
      </c>
      <c r="K26" s="3">
        <f t="shared" si="2"/>
        <v>24.778535099999999</v>
      </c>
      <c r="L26" s="3">
        <f t="shared" si="2"/>
        <v>24.074629323899998</v>
      </c>
    </row>
    <row r="28" spans="1:12" ht="18" customHeight="1" x14ac:dyDescent="0.25">
      <c r="A28" t="s">
        <v>16</v>
      </c>
      <c r="B28" s="3">
        <f>Financials!B26</f>
        <v>113.2033</v>
      </c>
      <c r="C28" s="3">
        <f>Financials!C26</f>
        <v>116.1326067</v>
      </c>
      <c r="D28" s="3">
        <f>Financials!D26</f>
        <v>124.02505854599997</v>
      </c>
      <c r="F28" s="3">
        <f>Financials!F26</f>
        <v>58.291899999999998</v>
      </c>
      <c r="G28" s="3">
        <f>Financials!G26</f>
        <v>58.655610000000003</v>
      </c>
      <c r="H28" s="3">
        <f>Financials!H26</f>
        <v>58.595420320199999</v>
      </c>
      <c r="J28" s="3">
        <f>Financials!J26</f>
        <v>171.49520000000001</v>
      </c>
      <c r="K28" s="3">
        <f>Financials!K26</f>
        <v>174.78821669999999</v>
      </c>
      <c r="L28" s="3">
        <f>Financials!L26</f>
        <v>182.62047886619996</v>
      </c>
    </row>
    <row r="29" spans="1:12" ht="18" customHeight="1" thickBot="1" x14ac:dyDescent="0.3">
      <c r="A29" s="7" t="s">
        <v>27</v>
      </c>
      <c r="B29" s="8">
        <f>SUM(B26:B28)</f>
        <v>127.45650000000001</v>
      </c>
      <c r="C29" s="8">
        <f>SUM(C26:C28)</f>
        <v>131.255526</v>
      </c>
      <c r="D29" s="8">
        <f>SUM(D26:D28)</f>
        <v>138.77561162549998</v>
      </c>
      <c r="F29" s="8">
        <f>SUM(F26:F28)</f>
        <v>68.220200000000006</v>
      </c>
      <c r="G29" s="8">
        <f>SUM(G26:G28)</f>
        <v>68.311225800000003</v>
      </c>
      <c r="H29" s="8">
        <f>SUM(H26:H28)</f>
        <v>67.919496564599996</v>
      </c>
      <c r="J29" s="8">
        <f>SUM(J26:J28)</f>
        <v>195.67670000000004</v>
      </c>
      <c r="K29" s="8">
        <f>SUM(K26:K28)</f>
        <v>199.56675179999999</v>
      </c>
      <c r="L29" s="8">
        <f>SUM(L26:L28)</f>
        <v>206.69510819009997</v>
      </c>
    </row>
    <row r="30" spans="1:12" ht="18" customHeight="1" thickTop="1" x14ac:dyDescent="0.25">
      <c r="A30" s="9"/>
      <c r="B30" s="10"/>
      <c r="C30" s="10"/>
      <c r="D30" s="10"/>
      <c r="F30" s="10"/>
      <c r="G30" s="10"/>
      <c r="H30" s="10"/>
      <c r="J30" s="10"/>
      <c r="K30" s="10"/>
      <c r="L30" s="10"/>
    </row>
    <row r="31" spans="1:12" ht="18" customHeight="1" x14ac:dyDescent="0.25">
      <c r="B31" s="3"/>
      <c r="C31" s="3"/>
      <c r="D31" s="3"/>
      <c r="F31" s="3"/>
      <c r="G31" s="3"/>
      <c r="H31" s="3"/>
    </row>
    <row r="32" spans="1:12" ht="18" customHeight="1" x14ac:dyDescent="0.25">
      <c r="H32" s="13" t="s">
        <v>28</v>
      </c>
      <c r="I32" s="4"/>
      <c r="J32" s="11">
        <f ca="1">YEAR(TODAY())-3</f>
        <v>2013</v>
      </c>
      <c r="K32" s="11">
        <f ca="1">start_year+1</f>
        <v>2014</v>
      </c>
      <c r="L32" s="11">
        <f ca="1">K32+1</f>
        <v>2015</v>
      </c>
    </row>
    <row r="33" spans="2:12" ht="18" customHeight="1" x14ac:dyDescent="0.25">
      <c r="H33" t="s">
        <v>19</v>
      </c>
      <c r="J33" s="3">
        <f>Financials!J33</f>
        <v>55.676699999999983</v>
      </c>
      <c r="K33" s="3">
        <f>Financials!K33</f>
        <v>36.594727689999985</v>
      </c>
      <c r="L33" s="3">
        <f>Financials!L33</f>
        <v>18.463053650409933</v>
      </c>
    </row>
    <row r="34" spans="2:12" ht="18" customHeight="1" x14ac:dyDescent="0.25">
      <c r="H34" s="9" t="s">
        <v>20</v>
      </c>
      <c r="J34" s="3">
        <f>Financials!J34</f>
        <v>140</v>
      </c>
      <c r="K34" s="3">
        <f>Financials!K34</f>
        <v>162.97202411000001</v>
      </c>
      <c r="L34" s="3">
        <f>Financials!L34</f>
        <v>188.23205453968998</v>
      </c>
    </row>
    <row r="35" spans="2:12" ht="18" customHeight="1" thickBot="1" x14ac:dyDescent="0.3">
      <c r="H35" s="12" t="s">
        <v>27</v>
      </c>
      <c r="I35" s="7"/>
      <c r="J35" s="8">
        <f>J29</f>
        <v>195.67670000000004</v>
      </c>
      <c r="K35" s="8">
        <f>K29</f>
        <v>199.56675179999999</v>
      </c>
      <c r="L35" s="8">
        <f>L29</f>
        <v>206.69510819009997</v>
      </c>
    </row>
    <row r="36" spans="2:12" ht="18" customHeight="1" thickTop="1" x14ac:dyDescent="0.25">
      <c r="B36" s="9"/>
      <c r="C36" s="9"/>
      <c r="D36" s="9"/>
      <c r="E36" s="14"/>
      <c r="G36" s="9"/>
    </row>
    <row r="37" spans="2:12" ht="18" customHeight="1" x14ac:dyDescent="0.25">
      <c r="E37" s="14"/>
    </row>
  </sheetData>
  <mergeCells count="3">
    <mergeCell ref="B5:D5"/>
    <mergeCell ref="F5:H5"/>
    <mergeCell ref="J5:L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opLeftCell="A2" zoomScale="130" zoomScaleNormal="130" workbookViewId="0">
      <selection activeCell="A2" sqref="A2"/>
    </sheetView>
  </sheetViews>
  <sheetFormatPr defaultRowHeight="18" customHeight="1" x14ac:dyDescent="0.25"/>
  <cols>
    <col min="1" max="1" width="28" customWidth="1"/>
    <col min="14" max="14" width="15.42578125" customWidth="1"/>
  </cols>
  <sheetData>
    <row r="2" spans="1:15" ht="18" customHeight="1" x14ac:dyDescent="0.25">
      <c r="A2" s="1" t="s">
        <v>13</v>
      </c>
    </row>
    <row r="3" spans="1:15" ht="18" customHeight="1" x14ac:dyDescent="0.25">
      <c r="A3" t="s">
        <v>29</v>
      </c>
    </row>
    <row r="5" spans="1:15" ht="18" customHeight="1" x14ac:dyDescent="0.25">
      <c r="B5" s="68" t="s">
        <v>1</v>
      </c>
      <c r="C5" s="68"/>
      <c r="D5" s="68"/>
      <c r="F5" s="68" t="s">
        <v>2</v>
      </c>
      <c r="G5" s="68"/>
      <c r="H5" s="68"/>
      <c r="J5" s="68" t="str">
        <f>A2</f>
        <v>Diablo Glass</v>
      </c>
      <c r="K5" s="68"/>
      <c r="L5" s="68"/>
    </row>
    <row r="7" spans="1:15" ht="18" customHeight="1" thickBot="1" x14ac:dyDescent="0.3">
      <c r="A7" s="2" t="s">
        <v>30</v>
      </c>
      <c r="B7" s="2">
        <f ca="1">YEAR(TODAY())-3</f>
        <v>2013</v>
      </c>
      <c r="C7" s="2">
        <f ca="1">start_year+1</f>
        <v>2014</v>
      </c>
      <c r="D7" s="2">
        <f ca="1">C7+1</f>
        <v>2015</v>
      </c>
      <c r="F7" s="2">
        <f ca="1">YEAR(TODAY())-3</f>
        <v>2013</v>
      </c>
      <c r="G7" s="2">
        <f ca="1">start_year+1</f>
        <v>2014</v>
      </c>
      <c r="H7" s="2">
        <f ca="1">G7+1</f>
        <v>2015</v>
      </c>
      <c r="J7" s="2">
        <f ca="1">YEAR(TODAY())-3</f>
        <v>2013</v>
      </c>
      <c r="K7" s="2">
        <f ca="1">start_year+1</f>
        <v>2014</v>
      </c>
      <c r="L7" s="2">
        <f ca="1">K7+1</f>
        <v>2015</v>
      </c>
      <c r="N7" s="15" t="s">
        <v>31</v>
      </c>
      <c r="O7" s="16" t="s">
        <v>32</v>
      </c>
    </row>
    <row r="8" spans="1:15" ht="18" customHeight="1" x14ac:dyDescent="0.25">
      <c r="A8" t="s">
        <v>33</v>
      </c>
      <c r="B8" s="17">
        <f>B25</f>
        <v>0.10800000000000005</v>
      </c>
      <c r="C8" s="17">
        <f>C25</f>
        <v>0.10300000000000005</v>
      </c>
      <c r="D8" s="17">
        <f>D25</f>
        <v>0.10500000000000004</v>
      </c>
      <c r="F8" s="17">
        <f>F25</f>
        <v>7.9999999999999932E-2</v>
      </c>
      <c r="G8" s="17">
        <f>G25</f>
        <v>7.4999999999999942E-2</v>
      </c>
      <c r="H8" s="17">
        <f>H25</f>
        <v>7.2999999999999898E-2</v>
      </c>
      <c r="J8" s="17">
        <f>J25</f>
        <v>0.10060902255639102</v>
      </c>
      <c r="K8" s="17">
        <f>K25</f>
        <v>9.6272485172833877E-2</v>
      </c>
      <c r="L8" s="17">
        <f>L25</f>
        <v>9.7546200624175919E-2</v>
      </c>
      <c r="N8" t="s">
        <v>34</v>
      </c>
      <c r="O8" s="18">
        <v>0.06</v>
      </c>
    </row>
    <row r="9" spans="1:15" ht="18" customHeight="1" x14ac:dyDescent="0.25">
      <c r="N9" t="s">
        <v>35</v>
      </c>
      <c r="O9" s="18">
        <v>0.09</v>
      </c>
    </row>
    <row r="10" spans="1:15" ht="18" customHeight="1" x14ac:dyDescent="0.25">
      <c r="A10" t="s">
        <v>36</v>
      </c>
      <c r="B10" s="19">
        <f>B8*(1-tax_rate)</f>
        <v>7.5600000000000028E-2</v>
      </c>
      <c r="C10" s="19">
        <f>C8*(1-tax_rate)</f>
        <v>7.2100000000000025E-2</v>
      </c>
      <c r="D10" s="19">
        <f>D8*(1-tax_rate)</f>
        <v>7.3500000000000024E-2</v>
      </c>
      <c r="F10" s="19">
        <f>F8*(1-tax_rate)</f>
        <v>5.5999999999999946E-2</v>
      </c>
      <c r="G10" s="19">
        <f>G8*(1-tax_rate)</f>
        <v>5.2499999999999956E-2</v>
      </c>
      <c r="H10" s="19">
        <f>H8*(1-tax_rate)</f>
        <v>5.1099999999999923E-2</v>
      </c>
      <c r="J10" s="19">
        <f>J8*(1-tax_rate)</f>
        <v>7.0426315789473712E-2</v>
      </c>
      <c r="K10" s="19">
        <f>K8*(1-tax_rate)</f>
        <v>6.7390739620983714E-2</v>
      </c>
      <c r="L10" s="19">
        <f>L8*(1-tax_rate)</f>
        <v>6.8282340436923133E-2</v>
      </c>
      <c r="N10" t="s">
        <v>37</v>
      </c>
      <c r="O10" s="18">
        <v>0.3</v>
      </c>
    </row>
    <row r="11" spans="1:15" ht="18" customHeight="1" x14ac:dyDescent="0.25">
      <c r="A11" s="4" t="s">
        <v>38</v>
      </c>
      <c r="B11" s="20">
        <f>Reorganized!B8/Reorganized!B29</f>
        <v>2.150537634408602</v>
      </c>
      <c r="C11" s="20">
        <f>Reorganized!C8/Reorganized!C29</f>
        <v>2.1739130434782608</v>
      </c>
      <c r="D11" s="20">
        <f>Reorganized!D8/Reorganized!D29</f>
        <v>2.1691973969631237</v>
      </c>
      <c r="F11" s="20">
        <f>Reorganized!F8/Reorganized!F29</f>
        <v>1.4409221902017288</v>
      </c>
      <c r="G11" s="20">
        <f>Reorganized!G8/Reorganized!G29</f>
        <v>1.321003963011889</v>
      </c>
      <c r="H11" s="20">
        <f>Reorganized!H8/Reorganized!H29</f>
        <v>1.3458950201884252</v>
      </c>
      <c r="J11" s="20">
        <f>Reorganized!J8/Reorganized!J29</f>
        <v>1.9031392087049708</v>
      </c>
      <c r="K11" s="20">
        <f>Reorganized!K8/Reorganized!K29</f>
        <v>1.8819642882016383</v>
      </c>
      <c r="L11" s="20">
        <f>Reorganized!L8/Reorganized!L29</f>
        <v>1.898662291219124</v>
      </c>
    </row>
    <row r="12" spans="1:15" ht="18" customHeight="1" thickBot="1" x14ac:dyDescent="0.3">
      <c r="A12" s="65" t="s">
        <v>39</v>
      </c>
      <c r="B12" s="66">
        <f>B10*B11</f>
        <v>0.16258064516129037</v>
      </c>
      <c r="C12" s="66">
        <f>C10*C11</f>
        <v>0.15673913043478266</v>
      </c>
      <c r="D12" s="66">
        <f>D10*D11</f>
        <v>0.15943600867678964</v>
      </c>
      <c r="E12" s="67"/>
      <c r="F12" s="66">
        <f>F10*F11</f>
        <v>8.0691642651296733E-2</v>
      </c>
      <c r="G12" s="66">
        <f>G10*G11</f>
        <v>6.9352708058124116E-2</v>
      </c>
      <c r="H12" s="66">
        <f>H10*H11</f>
        <v>6.8775235531628426E-2</v>
      </c>
      <c r="I12" s="67"/>
      <c r="J12" s="66">
        <f>J10*J11</f>
        <v>0.1340310829035854</v>
      </c>
      <c r="K12" s="66">
        <f>K10*K11</f>
        <v>0.12682696532218657</v>
      </c>
      <c r="L12" s="66">
        <f>L10*L11</f>
        <v>0.12964510494377271</v>
      </c>
    </row>
    <row r="13" spans="1:15" ht="18" customHeight="1" thickTop="1" x14ac:dyDescent="0.25"/>
    <row r="15" spans="1:15" ht="18" customHeight="1" x14ac:dyDescent="0.25">
      <c r="A15" s="1" t="s">
        <v>13</v>
      </c>
    </row>
    <row r="16" spans="1:15" ht="18" customHeight="1" x14ac:dyDescent="0.25">
      <c r="A16" t="s">
        <v>40</v>
      </c>
    </row>
    <row r="18" spans="1:12" ht="18" customHeight="1" thickBot="1" x14ac:dyDescent="0.3">
      <c r="A18" s="2" t="s">
        <v>41</v>
      </c>
      <c r="B18" s="2">
        <f ca="1">YEAR(TODAY())-3</f>
        <v>2013</v>
      </c>
      <c r="C18" s="2">
        <f ca="1">start_year+1</f>
        <v>2014</v>
      </c>
      <c r="D18" s="2">
        <f ca="1">C18+1</f>
        <v>2015</v>
      </c>
      <c r="F18" s="2">
        <f ca="1">YEAR(TODAY())-3</f>
        <v>2013</v>
      </c>
      <c r="G18" s="2">
        <f ca="1">start_year+1</f>
        <v>2014</v>
      </c>
      <c r="H18" s="2">
        <f ca="1">G18+1</f>
        <v>2015</v>
      </c>
      <c r="J18" s="2">
        <f ca="1">YEAR(TODAY())-3</f>
        <v>2013</v>
      </c>
      <c r="K18" s="2">
        <f ca="1">start_year+1</f>
        <v>2014</v>
      </c>
      <c r="L18" s="2">
        <f ca="1">K18+1</f>
        <v>2015</v>
      </c>
    </row>
    <row r="19" spans="1:12" ht="18" customHeight="1" x14ac:dyDescent="0.25">
      <c r="A19" t="s">
        <v>42</v>
      </c>
      <c r="B19" s="21" t="s">
        <v>43</v>
      </c>
      <c r="C19" s="19">
        <f>Reorganized!C8/Reorganized!B8-1</f>
        <v>4.0999999999999925E-2</v>
      </c>
      <c r="D19" s="19">
        <f>Reorganized!D8/Reorganized!C8-1</f>
        <v>5.4999999999999938E-2</v>
      </c>
      <c r="F19" s="21" t="s">
        <v>43</v>
      </c>
      <c r="G19" s="19">
        <f>Reorganized!G8/Reorganized!F8-1</f>
        <v>-8.1999999999999962E-2</v>
      </c>
      <c r="H19" s="19">
        <f>Reorganized!H8/Reorganized!G8-1</f>
        <v>1.2999999999999901E-2</v>
      </c>
      <c r="J19" s="21" t="s">
        <v>43</v>
      </c>
      <c r="K19" s="19">
        <f>Reorganized!K8/Reorganized!J8-1</f>
        <v>8.532491944145848E-3</v>
      </c>
      <c r="L19" s="19">
        <f>Reorganized!L8/Reorganized!K8-1</f>
        <v>4.4908727759250588E-2</v>
      </c>
    </row>
    <row r="20" spans="1:12" ht="18" customHeight="1" x14ac:dyDescent="0.25">
      <c r="A20" t="s">
        <v>4</v>
      </c>
      <c r="B20" s="19">
        <f>-Reorganized!B9/Reorganized!B$8</f>
        <v>0.30099999999999999</v>
      </c>
      <c r="C20" s="19">
        <f>-Reorganized!C9/Reorganized!C$8</f>
        <v>0.316</v>
      </c>
      <c r="D20" s="19">
        <f>-Reorganized!D9/Reorganized!D$8</f>
        <v>0.32400000000000001</v>
      </c>
      <c r="F20" s="19">
        <f>-Reorganized!F9/Reorganized!F$8</f>
        <v>0.53800000000000003</v>
      </c>
      <c r="G20" s="19">
        <f>-Reorganized!G9/Reorganized!G$8</f>
        <v>0.55400000000000005</v>
      </c>
      <c r="H20" s="19">
        <f>-Reorganized!H9/Reorganized!H$8</f>
        <v>0.56200000000000006</v>
      </c>
      <c r="J20" s="19">
        <f>-Reorganized!J9/Reorganized!J$8</f>
        <v>0.36355934479054774</v>
      </c>
      <c r="K20" s="19">
        <f>-Reorganized!K9/Reorganized!K$8</f>
        <v>0.37318387603091241</v>
      </c>
      <c r="L20" s="19">
        <f>-Reorganized!L9/Reorganized!L$8</f>
        <v>0.379437632857691</v>
      </c>
    </row>
    <row r="21" spans="1:12" ht="18" customHeight="1" x14ac:dyDescent="0.25">
      <c r="A21" s="4" t="s">
        <v>5</v>
      </c>
      <c r="B21" s="22">
        <f>-Reorganized!B10/Reorganized!B$8</f>
        <v>0.30399999999999999</v>
      </c>
      <c r="C21" s="22">
        <f>-Reorganized!C10/Reorganized!C$8</f>
        <v>0.29599999999999999</v>
      </c>
      <c r="D21" s="22">
        <f>-Reorganized!D10/Reorganized!D$8</f>
        <v>0.28399999999999997</v>
      </c>
      <c r="F21" s="22">
        <f>-Reorganized!F10/Reorganized!F$8</f>
        <v>0.252</v>
      </c>
      <c r="G21" s="22">
        <f>-Reorganized!G10/Reorganized!G$8</f>
        <v>0.26300000000000001</v>
      </c>
      <c r="H21" s="22">
        <f>-Reorganized!H10/Reorganized!H$8</f>
        <v>0.27</v>
      </c>
      <c r="J21" s="22">
        <f>-Reorganized!J10/Reorganized!J$8</f>
        <v>0.29027389903329753</v>
      </c>
      <c r="K21" s="22">
        <f>-Reorganized!K10/Reorganized!K$8</f>
        <v>0.2880711432394113</v>
      </c>
      <c r="L21" s="22">
        <f>-Reorganized!L10/Reorganized!L$8</f>
        <v>0.28073896277307703</v>
      </c>
    </row>
    <row r="22" spans="1:12" ht="18" customHeight="1" x14ac:dyDescent="0.25">
      <c r="A22" t="s">
        <v>44</v>
      </c>
      <c r="B22" s="19">
        <f>1-SUM(B20:B21)</f>
        <v>0.39500000000000002</v>
      </c>
      <c r="C22" s="19">
        <f>1-SUM(C20:C21)</f>
        <v>0.38800000000000001</v>
      </c>
      <c r="D22" s="19">
        <f>1-SUM(D20:D21)</f>
        <v>0.39200000000000002</v>
      </c>
      <c r="F22" s="19">
        <f>1-SUM(F20:F21)</f>
        <v>0.20999999999999996</v>
      </c>
      <c r="G22" s="19">
        <f>1-SUM(G20:G21)</f>
        <v>0.18299999999999994</v>
      </c>
      <c r="H22" s="19">
        <f>1-SUM(H20:H21)</f>
        <v>0.16799999999999993</v>
      </c>
      <c r="J22" s="19">
        <f>1-SUM(J20:J21)</f>
        <v>0.34616675617615478</v>
      </c>
      <c r="K22" s="19">
        <f>1-SUM(K20:K21)</f>
        <v>0.33874498072967629</v>
      </c>
      <c r="L22" s="19">
        <f>1-SUM(L20:L21)</f>
        <v>0.33982340436923197</v>
      </c>
    </row>
    <row r="23" spans="1:12" ht="18" customHeight="1" x14ac:dyDescent="0.25">
      <c r="B23" s="19"/>
      <c r="C23" s="19"/>
      <c r="D23" s="19"/>
      <c r="F23" s="19"/>
      <c r="G23" s="19"/>
      <c r="H23" s="19"/>
      <c r="J23" s="19"/>
      <c r="K23" s="19"/>
      <c r="L23" s="19"/>
    </row>
    <row r="24" spans="1:12" ht="18" customHeight="1" x14ac:dyDescent="0.25">
      <c r="A24" s="4" t="s">
        <v>7</v>
      </c>
      <c r="B24" s="22">
        <f>-Reorganized!B13/Reorganized!B$8</f>
        <v>0.28699999999999998</v>
      </c>
      <c r="C24" s="22">
        <f>-Reorganized!C13/Reorganized!C$8</f>
        <v>0.28499999999999998</v>
      </c>
      <c r="D24" s="22">
        <f>-Reorganized!D13/Reorganized!D$8</f>
        <v>0.28699999999999998</v>
      </c>
      <c r="F24" s="22">
        <f>-Reorganized!F13/Reorganized!F$8</f>
        <v>0.13</v>
      </c>
      <c r="G24" s="22">
        <f>-Reorganized!G13/Reorganized!G$8</f>
        <v>0.10799999999999998</v>
      </c>
      <c r="H24" s="22">
        <f>-Reorganized!H13/Reorganized!H$8</f>
        <v>9.5000000000000001E-2</v>
      </c>
      <c r="J24" s="22">
        <f>-Reorganized!J13/Reorganized!J$8</f>
        <v>0.24555773361976369</v>
      </c>
      <c r="K24" s="22">
        <f>-Reorganized!K13/Reorganized!K$8</f>
        <v>0.24247249555684242</v>
      </c>
      <c r="L24" s="22">
        <f>-Reorganized!L13/Reorganized!L$8</f>
        <v>0.24227720374505604</v>
      </c>
    </row>
    <row r="25" spans="1:12" ht="18" customHeight="1" x14ac:dyDescent="0.25">
      <c r="A25" s="6" t="s">
        <v>33</v>
      </c>
      <c r="B25" s="19">
        <f>Reorganized!B14/Reorganized!B$8</f>
        <v>0.10800000000000005</v>
      </c>
      <c r="C25" s="19">
        <f>Reorganized!C14/Reorganized!C$8</f>
        <v>0.10300000000000005</v>
      </c>
      <c r="D25" s="19">
        <f>Reorganized!D14/Reorganized!D$8</f>
        <v>0.10500000000000004</v>
      </c>
      <c r="F25" s="19">
        <f>Reorganized!F14/Reorganized!F$8</f>
        <v>7.9999999999999932E-2</v>
      </c>
      <c r="G25" s="19">
        <f>Reorganized!G14/Reorganized!G$8</f>
        <v>7.4999999999999942E-2</v>
      </c>
      <c r="H25" s="19">
        <f>Reorganized!H14/Reorganized!H$8</f>
        <v>7.2999999999999898E-2</v>
      </c>
      <c r="J25" s="19">
        <f>Reorganized!J14/Reorganized!J$8</f>
        <v>0.10060902255639102</v>
      </c>
      <c r="K25" s="19">
        <f>Reorganized!K14/Reorganized!K$8</f>
        <v>9.6272485172833877E-2</v>
      </c>
      <c r="L25" s="19">
        <f>Reorganized!L14/Reorganized!L$8</f>
        <v>9.7546200624175919E-2</v>
      </c>
    </row>
    <row r="27" spans="1:12" ht="18" customHeight="1" x14ac:dyDescent="0.25">
      <c r="A27" s="1" t="s">
        <v>13</v>
      </c>
    </row>
    <row r="28" spans="1:12" ht="18" customHeight="1" x14ac:dyDescent="0.25">
      <c r="A28" t="s">
        <v>45</v>
      </c>
    </row>
    <row r="30" spans="1:12" ht="18" customHeight="1" thickBot="1" x14ac:dyDescent="0.3">
      <c r="A30" s="2" t="s">
        <v>46</v>
      </c>
      <c r="B30" s="2">
        <f ca="1">YEAR(TODAY())-3</f>
        <v>2013</v>
      </c>
      <c r="C30" s="2">
        <f ca="1">start_year+1</f>
        <v>2014</v>
      </c>
      <c r="D30" s="2">
        <f ca="1">C30+1</f>
        <v>2015</v>
      </c>
      <c r="F30" s="2">
        <f ca="1">YEAR(TODAY())-3</f>
        <v>2013</v>
      </c>
      <c r="G30" s="2">
        <f ca="1">start_year+1</f>
        <v>2014</v>
      </c>
      <c r="H30" s="2">
        <f ca="1">G30+1</f>
        <v>2015</v>
      </c>
      <c r="J30" s="2">
        <f ca="1">YEAR(TODAY())-3</f>
        <v>2013</v>
      </c>
      <c r="K30" s="2">
        <f ca="1">start_year+1</f>
        <v>2014</v>
      </c>
      <c r="L30" s="2">
        <f ca="1">K30+1</f>
        <v>2015</v>
      </c>
    </row>
    <row r="31" spans="1:12" ht="18" customHeight="1" x14ac:dyDescent="0.25">
      <c r="A31" t="s">
        <v>47</v>
      </c>
      <c r="B31" s="3">
        <f>365*Reorganized!B24/Reorganized!B$8</f>
        <v>73.73</v>
      </c>
      <c r="C31" s="3">
        <f>365*Reorganized!C24/Reorganized!C$8</f>
        <v>74.094999999999999</v>
      </c>
      <c r="D31" s="3">
        <f>365*Reorganized!D24/Reorganized!D$8</f>
        <v>72.635000000000005</v>
      </c>
      <c r="F31" s="3">
        <f>365*Reorganized!F24/Reorganized!F$8</f>
        <v>91.615000000000009</v>
      </c>
      <c r="G31" s="3">
        <f>365*Reorganized!G24/Reorganized!G$8</f>
        <v>93.804999999999993</v>
      </c>
      <c r="H31" s="3">
        <f>365*Reorganized!H24/Reorganized!H$8</f>
        <v>91.98</v>
      </c>
      <c r="J31" s="3">
        <f>365*Reorganized!J24/Reorganized!J$8</f>
        <v>78.45098684210528</v>
      </c>
      <c r="K31" s="3">
        <f>365*Reorganized!K24/Reorganized!K$8</f>
        <v>78.830689901551608</v>
      </c>
      <c r="L31" s="3">
        <f>365*Reorganized!L24/Reorganized!L$8</f>
        <v>77.1410546539161</v>
      </c>
    </row>
    <row r="32" spans="1:12" ht="18" customHeight="1" x14ac:dyDescent="0.25">
      <c r="A32" s="4" t="s">
        <v>48</v>
      </c>
      <c r="B32" s="5">
        <f>365*Reorganized!B25/Reorganized!B$8</f>
        <v>-54.75</v>
      </c>
      <c r="C32" s="5">
        <f>365*Reorganized!C25/Reorganized!C$8</f>
        <v>-54.75</v>
      </c>
      <c r="D32" s="5">
        <f>365*Reorganized!D25/Reorganized!D$8</f>
        <v>-54.749999999999993</v>
      </c>
      <c r="F32" s="5">
        <f>365*Reorganized!F25/Reorganized!F$8</f>
        <v>-54.749999999999993</v>
      </c>
      <c r="G32" s="5">
        <f>365*Reorganized!G25/Reorganized!G$8</f>
        <v>-54.749999999999993</v>
      </c>
      <c r="H32" s="5">
        <f>365*Reorganized!H25/Reorganized!H$8</f>
        <v>-54.75</v>
      </c>
      <c r="J32" s="5">
        <f>365*Reorganized!J25/Reorganized!J$8</f>
        <v>-54.75</v>
      </c>
      <c r="K32" s="5">
        <f>365*Reorganized!K25/Reorganized!K$8</f>
        <v>-54.750000000000007</v>
      </c>
      <c r="L32" s="5">
        <f>365*Reorganized!L25/Reorganized!L$8</f>
        <v>-54.750000000000007</v>
      </c>
    </row>
    <row r="33" spans="1:12" ht="18" customHeight="1" x14ac:dyDescent="0.25">
      <c r="A33" t="s">
        <v>26</v>
      </c>
      <c r="B33" s="3">
        <f>SUM(B31:B32)</f>
        <v>18.980000000000004</v>
      </c>
      <c r="C33" s="3">
        <f>SUM(C31:C32)</f>
        <v>19.344999999999999</v>
      </c>
      <c r="D33" s="3">
        <f>SUM(D31:D32)</f>
        <v>17.885000000000012</v>
      </c>
      <c r="F33" s="3">
        <f>SUM(F31:F32)</f>
        <v>36.865000000000016</v>
      </c>
      <c r="G33" s="3">
        <f>SUM(G31:G32)</f>
        <v>39.055</v>
      </c>
      <c r="H33" s="3">
        <f t="shared" ref="H33:L33" si="0">SUM(H31:H32)</f>
        <v>37.230000000000004</v>
      </c>
      <c r="J33" s="3">
        <f t="shared" si="0"/>
        <v>23.70098684210528</v>
      </c>
      <c r="K33" s="3">
        <f t="shared" si="0"/>
        <v>24.080689901551601</v>
      </c>
      <c r="L33" s="3">
        <f t="shared" si="0"/>
        <v>22.391054653916093</v>
      </c>
    </row>
    <row r="35" spans="1:12" ht="18" customHeight="1" x14ac:dyDescent="0.25">
      <c r="A35" t="s">
        <v>49</v>
      </c>
      <c r="B35" s="19">
        <f>Reorganized!B28/Reorganized!B$8</f>
        <v>0.41299999999999998</v>
      </c>
      <c r="C35" s="19">
        <f>Reorganized!C28/Reorganized!C$8</f>
        <v>0.40699999999999997</v>
      </c>
      <c r="D35" s="19">
        <f>Reorganized!D28/Reorganized!D$8</f>
        <v>0.41199999999999998</v>
      </c>
      <c r="F35" s="19">
        <f>Reorganized!F28/Reorganized!F$8</f>
        <v>0.59299999999999997</v>
      </c>
      <c r="G35" s="19">
        <f>Reorganized!G28/Reorganized!G$8</f>
        <v>0.65</v>
      </c>
      <c r="H35" s="19">
        <f>Reorganized!H28/Reorganized!H$8</f>
        <v>0.64100000000000001</v>
      </c>
      <c r="J35" s="19">
        <f>Reorganized!J28/Reorganized!J$8</f>
        <v>0.46051342642320087</v>
      </c>
      <c r="K35" s="19">
        <f>Reorganized!K28/Reorganized!K$8</f>
        <v>0.46538521796433491</v>
      </c>
      <c r="L35" s="19">
        <f>Reorganized!L28/Reorganized!L$8</f>
        <v>0.46534125178324037</v>
      </c>
    </row>
    <row r="36" spans="1:12" ht="18" customHeight="1" thickBot="1" x14ac:dyDescent="0.3">
      <c r="A36" s="7" t="s">
        <v>27</v>
      </c>
      <c r="B36" s="23">
        <f>Reorganized!B29/Reorganized!B$8</f>
        <v>0.46499999999999997</v>
      </c>
      <c r="C36" s="23">
        <f>Reorganized!C29/Reorganized!C$8</f>
        <v>0.46</v>
      </c>
      <c r="D36" s="23">
        <f>Reorganized!D29/Reorganized!D$8</f>
        <v>0.46099999999999997</v>
      </c>
      <c r="F36" s="23">
        <f>Reorganized!F29/Reorganized!F$8</f>
        <v>0.69400000000000006</v>
      </c>
      <c r="G36" s="23">
        <f>Reorganized!G29/Reorganized!G$8</f>
        <v>0.75700000000000001</v>
      </c>
      <c r="H36" s="23">
        <f>Reorganized!H29/Reorganized!H$8</f>
        <v>0.74299999999999999</v>
      </c>
      <c r="J36" s="23">
        <f>Reorganized!J29/Reorganized!J$8</f>
        <v>0.52544763694951668</v>
      </c>
      <c r="K36" s="23">
        <f>Reorganized!K29/Reorganized!K$8</f>
        <v>0.53135971084529821</v>
      </c>
      <c r="L36" s="23">
        <f>Reorganized!L29/Reorganized!L$8</f>
        <v>0.52668660699944891</v>
      </c>
    </row>
    <row r="37" spans="1:12" ht="18" customHeight="1" thickTop="1" x14ac:dyDescent="0.25">
      <c r="A37" s="9"/>
      <c r="B37" s="10"/>
      <c r="C37" s="10"/>
      <c r="D37" s="10"/>
      <c r="F37" s="10"/>
      <c r="G37" s="10"/>
      <c r="H37" s="10"/>
      <c r="J37" s="10"/>
      <c r="K37" s="10"/>
      <c r="L37" s="10"/>
    </row>
    <row r="38" spans="1:12" ht="18" customHeight="1" x14ac:dyDescent="0.25">
      <c r="B38" s="3"/>
      <c r="C38" s="3"/>
      <c r="D38" s="3"/>
      <c r="F38" s="3"/>
      <c r="G38" s="3"/>
      <c r="H38" s="3"/>
    </row>
  </sheetData>
  <mergeCells count="3">
    <mergeCell ref="B5:D5"/>
    <mergeCell ref="F5:H5"/>
    <mergeCell ref="J5:L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showGridLines="0" zoomScale="85" zoomScaleNormal="85" workbookViewId="0">
      <selection activeCell="A2" sqref="A2"/>
    </sheetView>
  </sheetViews>
  <sheetFormatPr defaultRowHeight="18" customHeight="1" x14ac:dyDescent="0.25"/>
  <cols>
    <col min="1" max="1" width="22" customWidth="1"/>
    <col min="8" max="8" width="17.85546875" customWidth="1"/>
  </cols>
  <sheetData>
    <row r="2" spans="1:13" ht="18" customHeight="1" x14ac:dyDescent="0.25">
      <c r="A2" s="1" t="s">
        <v>13</v>
      </c>
      <c r="H2" s="1" t="s">
        <v>13</v>
      </c>
    </row>
    <row r="3" spans="1:13" ht="18" customHeight="1" x14ac:dyDescent="0.25">
      <c r="A3" t="s">
        <v>50</v>
      </c>
      <c r="H3" t="s">
        <v>51</v>
      </c>
    </row>
    <row r="5" spans="1:13" ht="18" customHeight="1" thickBot="1" x14ac:dyDescent="0.3">
      <c r="A5" s="15" t="s">
        <v>42</v>
      </c>
      <c r="B5" s="16">
        <f ca="1">I5</f>
        <v>2015</v>
      </c>
      <c r="C5" s="16" t="str">
        <f ca="1">J5</f>
        <v>2016E</v>
      </c>
      <c r="D5" s="16" t="str">
        <f ca="1">K5</f>
        <v>2017E</v>
      </c>
      <c r="E5" s="16" t="str">
        <f ca="1">L5</f>
        <v>2018E</v>
      </c>
      <c r="F5" s="16" t="str">
        <f ca="1">M5</f>
        <v>2019E</v>
      </c>
      <c r="H5" s="15" t="s">
        <v>52</v>
      </c>
      <c r="I5" s="16">
        <f ca="1">Financials!D7</f>
        <v>2015</v>
      </c>
      <c r="J5" s="16" t="str">
        <f ca="1">$I$5+1 &amp; "E"</f>
        <v>2016E</v>
      </c>
      <c r="K5" s="16" t="str">
        <f ca="1">$I$5+2 &amp; "E"</f>
        <v>2017E</v>
      </c>
      <c r="L5" s="16" t="str">
        <f ca="1">$I$5+3 &amp; "E"</f>
        <v>2018E</v>
      </c>
      <c r="M5" s="16" t="str">
        <f ca="1">$I$5+4 &amp; "E"</f>
        <v>2019E</v>
      </c>
    </row>
    <row r="6" spans="1:13" ht="18" customHeight="1" x14ac:dyDescent="0.25">
      <c r="A6" t="str">
        <f>unit1</f>
        <v>Packaged Glass</v>
      </c>
      <c r="B6" s="19">
        <f>'Ratio Analysis'!D19</f>
        <v>5.4999999999999938E-2</v>
      </c>
      <c r="C6" s="24">
        <v>0.06</v>
      </c>
      <c r="D6" s="24">
        <v>5.5E-2</v>
      </c>
      <c r="E6" s="24">
        <v>4.4999999999999998E-2</v>
      </c>
      <c r="F6" s="24">
        <v>3.5000000000000003E-2</v>
      </c>
      <c r="H6" t="str">
        <f>unit1</f>
        <v>Packaged Glass</v>
      </c>
      <c r="I6" s="25">
        <f>Financials!D8</f>
        <v>301.03169549999996</v>
      </c>
      <c r="J6" s="25">
        <f t="shared" ref="J6:M7" si="0">I6*(1+C6)</f>
        <v>319.09359722999994</v>
      </c>
      <c r="K6" s="25">
        <f t="shared" si="0"/>
        <v>336.6437450776499</v>
      </c>
      <c r="L6" s="25">
        <f t="shared" si="0"/>
        <v>351.7927136061441</v>
      </c>
      <c r="M6" s="25">
        <f t="shared" si="0"/>
        <v>364.10545858235912</v>
      </c>
    </row>
    <row r="7" spans="1:13" ht="18" customHeight="1" x14ac:dyDescent="0.25">
      <c r="A7" s="4" t="str">
        <f>unit2</f>
        <v>Flat Glass</v>
      </c>
      <c r="B7" s="22">
        <f>'Ratio Analysis'!H19</f>
        <v>1.2999999999999901E-2</v>
      </c>
      <c r="C7" s="26">
        <v>0.03</v>
      </c>
      <c r="D7" s="26">
        <v>0.04</v>
      </c>
      <c r="E7" s="26">
        <v>4.4999999999999998E-2</v>
      </c>
      <c r="F7" s="26">
        <v>0.03</v>
      </c>
      <c r="H7" s="4" t="str">
        <f>unit2</f>
        <v>Flat Glass</v>
      </c>
      <c r="I7" s="27">
        <f>Financials!H8</f>
        <v>91.412512199999995</v>
      </c>
      <c r="J7" s="27">
        <f t="shared" si="0"/>
        <v>94.154887565999999</v>
      </c>
      <c r="K7" s="27">
        <f t="shared" si="0"/>
        <v>97.921083068640002</v>
      </c>
      <c r="L7" s="27">
        <f t="shared" si="0"/>
        <v>102.3275318067288</v>
      </c>
      <c r="M7" s="27">
        <f t="shared" si="0"/>
        <v>105.39735776093066</v>
      </c>
    </row>
    <row r="8" spans="1:13" ht="18" customHeight="1" x14ac:dyDescent="0.25">
      <c r="A8" t="str">
        <f>company_name</f>
        <v>Diablo Glass</v>
      </c>
      <c r="B8" s="17">
        <f>'Ratio Analysis'!L19</f>
        <v>4.4908727759250588E-2</v>
      </c>
      <c r="C8" s="17">
        <f>J8/I8-1</f>
        <v>5.3012063085165151E-2</v>
      </c>
      <c r="D8" s="17">
        <f>K8/J8-1</f>
        <v>5.1582387194505364E-2</v>
      </c>
      <c r="E8" s="17">
        <f>L8/K8-1</f>
        <v>4.4999999999999929E-2</v>
      </c>
      <c r="F8" s="17">
        <f>M8/L8-1</f>
        <v>3.3873343207659667E-2</v>
      </c>
      <c r="H8" t="str">
        <f>company_name</f>
        <v>Diablo Glass</v>
      </c>
      <c r="I8" s="25">
        <f>SUM(I6:I7)</f>
        <v>392.44420769999994</v>
      </c>
      <c r="J8" s="25">
        <f t="shared" ref="J8:M8" si="1">SUM(J6:J7)</f>
        <v>413.24848479599996</v>
      </c>
      <c r="K8" s="25">
        <f t="shared" si="1"/>
        <v>434.56482814628987</v>
      </c>
      <c r="L8" s="25">
        <f t="shared" si="1"/>
        <v>454.12024541287292</v>
      </c>
      <c r="M8" s="25">
        <f t="shared" si="1"/>
        <v>469.50281634328979</v>
      </c>
    </row>
    <row r="9" spans="1:13" ht="18" customHeight="1" x14ac:dyDescent="0.25">
      <c r="B9" s="17"/>
      <c r="C9" s="17"/>
      <c r="D9" s="17"/>
      <c r="E9" s="17"/>
      <c r="F9" s="17"/>
    </row>
    <row r="10" spans="1:13" ht="18" customHeight="1" x14ac:dyDescent="0.25">
      <c r="A10" s="1" t="s">
        <v>33</v>
      </c>
      <c r="H10" s="1" t="s">
        <v>8</v>
      </c>
    </row>
    <row r="11" spans="1:13" ht="18" customHeight="1" x14ac:dyDescent="0.25">
      <c r="A11" t="str">
        <f>unit1</f>
        <v>Packaged Glass</v>
      </c>
      <c r="B11" s="17">
        <f>'Ratio Analysis'!D25</f>
        <v>0.10500000000000004</v>
      </c>
      <c r="C11" s="28">
        <v>0.11</v>
      </c>
      <c r="D11" s="24">
        <f>C11</f>
        <v>0.11</v>
      </c>
      <c r="E11" s="24">
        <f>D11+0.005</f>
        <v>0.115</v>
      </c>
      <c r="F11" s="24">
        <f>E11</f>
        <v>0.115</v>
      </c>
      <c r="H11" t="str">
        <f>unit1</f>
        <v>Packaged Glass</v>
      </c>
      <c r="I11" s="25">
        <f>Financials!D14</f>
        <v>31.608328027500008</v>
      </c>
      <c r="J11" s="25">
        <f t="shared" ref="J11:M12" si="2">J6*C11</f>
        <v>35.100295695299991</v>
      </c>
      <c r="K11" s="25">
        <f t="shared" si="2"/>
        <v>37.030811958541491</v>
      </c>
      <c r="L11" s="25">
        <f t="shared" si="2"/>
        <v>40.456162064706575</v>
      </c>
      <c r="M11" s="25">
        <f t="shared" si="2"/>
        <v>41.872127736971301</v>
      </c>
    </row>
    <row r="12" spans="1:13" ht="18" customHeight="1" x14ac:dyDescent="0.25">
      <c r="A12" s="4" t="str">
        <f>unit2</f>
        <v>Flat Glass</v>
      </c>
      <c r="B12" s="22">
        <f>'Ratio Analysis'!H25</f>
        <v>7.2999999999999898E-2</v>
      </c>
      <c r="C12" s="29">
        <v>6.9000000000000006E-2</v>
      </c>
      <c r="D12" s="29">
        <v>6.5000000000000002E-2</v>
      </c>
      <c r="E12" s="29">
        <v>7.0000000000000007E-2</v>
      </c>
      <c r="F12" s="29">
        <v>0.08</v>
      </c>
      <c r="H12" s="4" t="str">
        <f>unit2</f>
        <v>Flat Glass</v>
      </c>
      <c r="I12" s="27">
        <f>Financials!H14</f>
        <v>6.6731133905999904</v>
      </c>
      <c r="J12" s="27">
        <f t="shared" si="2"/>
        <v>6.4966872420540005</v>
      </c>
      <c r="K12" s="27">
        <f t="shared" si="2"/>
        <v>6.3648703994616005</v>
      </c>
      <c r="L12" s="27">
        <f t="shared" si="2"/>
        <v>7.1629272264710169</v>
      </c>
      <c r="M12" s="27">
        <f t="shared" si="2"/>
        <v>8.4317886208744532</v>
      </c>
    </row>
    <row r="13" spans="1:13" ht="18" customHeight="1" x14ac:dyDescent="0.25">
      <c r="A13" t="str">
        <f>company_name</f>
        <v>Diablo Glass</v>
      </c>
      <c r="B13" s="19">
        <f>'Ratio Analysis'!L25</f>
        <v>9.7546200624175919E-2</v>
      </c>
      <c r="C13" s="19">
        <f>J13/J8</f>
        <v>0.10065852499831508</v>
      </c>
      <c r="D13" s="19">
        <f>K13/K8</f>
        <v>9.9860088868937574E-2</v>
      </c>
      <c r="E13" s="19">
        <f>L13/L8</f>
        <v>0.10486008886893758</v>
      </c>
      <c r="F13" s="19">
        <f>M13/M8</f>
        <v>0.10714294910866876</v>
      </c>
      <c r="H13" t="str">
        <f>company_name</f>
        <v>Diablo Glass</v>
      </c>
      <c r="I13" s="25">
        <f>SUM(I11:I12)</f>
        <v>38.281441418100002</v>
      </c>
      <c r="J13" s="25">
        <f t="shared" ref="J13:M13" si="3">SUM(J11:J12)</f>
        <v>41.596982937353992</v>
      </c>
      <c r="K13" s="25">
        <f t="shared" si="3"/>
        <v>43.395682358003093</v>
      </c>
      <c r="L13" s="25">
        <f t="shared" si="3"/>
        <v>47.619089291177595</v>
      </c>
      <c r="M13" s="25">
        <f t="shared" si="3"/>
        <v>50.30391635784575</v>
      </c>
    </row>
    <row r="15" spans="1:13" ht="18" customHeight="1" x14ac:dyDescent="0.25">
      <c r="A15" s="1" t="s">
        <v>38</v>
      </c>
      <c r="B15" s="30"/>
    </row>
    <row r="16" spans="1:13" ht="18" customHeight="1" x14ac:dyDescent="0.25">
      <c r="A16" t="str">
        <f>unit1</f>
        <v>Packaged Glass</v>
      </c>
      <c r="B16" s="31">
        <f>'Ratio Analysis'!D11</f>
        <v>2.1691973969631237</v>
      </c>
      <c r="E16" t="s">
        <v>53</v>
      </c>
    </row>
    <row r="17" spans="1:9" ht="18" customHeight="1" x14ac:dyDescent="0.25">
      <c r="A17" s="4" t="str">
        <f>unit2</f>
        <v>Flat Glass</v>
      </c>
      <c r="B17" s="32">
        <f>'Ratio Analysis'!H11</f>
        <v>1.3458950201884252</v>
      </c>
    </row>
    <row r="18" spans="1:9" ht="18" customHeight="1" x14ac:dyDescent="0.25">
      <c r="A18" t="str">
        <f>company_name</f>
        <v>Diablo Glass</v>
      </c>
      <c r="B18" s="31">
        <f>'Ratio Analysis'!L11</f>
        <v>1.898662291219124</v>
      </c>
    </row>
    <row r="19" spans="1:9" ht="18" customHeight="1" x14ac:dyDescent="0.25">
      <c r="I19" s="3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showGridLines="0" zoomScale="110" zoomScaleNormal="110" workbookViewId="0">
      <selection activeCell="B2" sqref="B2"/>
    </sheetView>
  </sheetViews>
  <sheetFormatPr defaultRowHeight="18" customHeight="1" x14ac:dyDescent="0.25"/>
  <cols>
    <col min="2" max="2" width="26.42578125" customWidth="1"/>
    <col min="3" max="9" width="9.7109375" customWidth="1"/>
    <col min="10" max="10" width="29.7109375" customWidth="1"/>
    <col min="11" max="11" width="9.7109375" customWidth="1"/>
    <col min="12" max="12" width="7.42578125" customWidth="1"/>
    <col min="13" max="14" width="9.7109375" customWidth="1"/>
    <col min="16" max="16" width="21.85546875" hidden="1" customWidth="1"/>
    <col min="17" max="17" width="0" hidden="1" customWidth="1"/>
  </cols>
  <sheetData>
    <row r="2" spans="1:18" ht="18" customHeight="1" x14ac:dyDescent="0.25">
      <c r="B2" s="34" t="s">
        <v>1</v>
      </c>
      <c r="C2" s="34"/>
      <c r="P2" s="1"/>
    </row>
    <row r="3" spans="1:18" ht="18" customHeight="1" x14ac:dyDescent="0.25">
      <c r="B3" t="s">
        <v>54</v>
      </c>
    </row>
    <row r="4" spans="1:18" ht="18" customHeight="1" x14ac:dyDescent="0.25">
      <c r="P4" s="35"/>
    </row>
    <row r="5" spans="1:18" ht="18" customHeight="1" thickBot="1" x14ac:dyDescent="0.3">
      <c r="P5" s="15" t="s">
        <v>55</v>
      </c>
      <c r="Q5" s="36">
        <f>DCF!E28</f>
        <v>375.4148883049719</v>
      </c>
      <c r="R5" s="37"/>
    </row>
    <row r="6" spans="1:18" ht="18" customHeight="1" thickBot="1" x14ac:dyDescent="0.3">
      <c r="B6" s="15" t="str">
        <f>currency</f>
        <v>$ MEX</v>
      </c>
      <c r="C6" s="16">
        <f ca="1">Forecasts!I5</f>
        <v>2015</v>
      </c>
      <c r="D6" s="16" t="str">
        <f ca="1">Forecasts!J5</f>
        <v>2016E</v>
      </c>
      <c r="E6" s="16" t="str">
        <f ca="1">Forecasts!K5</f>
        <v>2017E</v>
      </c>
      <c r="F6" s="16" t="str">
        <f ca="1">Forecasts!L5</f>
        <v>2018E</v>
      </c>
      <c r="G6" s="16" t="str">
        <f ca="1">Forecasts!M5</f>
        <v>2019E</v>
      </c>
      <c r="H6" s="38"/>
      <c r="J6" s="1" t="s">
        <v>56</v>
      </c>
      <c r="L6" s="3"/>
      <c r="M6" s="3"/>
      <c r="P6" t="str">
        <f>unit1</f>
        <v>Packaged Glass</v>
      </c>
      <c r="Q6" s="3">
        <f t="dataTable" ref="Q6:Q7" dt2D="0" dtr="0" r1="B2"/>
        <v>375.4148883049719</v>
      </c>
    </row>
    <row r="7" spans="1:18" ht="18" customHeight="1" x14ac:dyDescent="0.25">
      <c r="A7" s="69" t="s">
        <v>57</v>
      </c>
      <c r="B7" t="s">
        <v>3</v>
      </c>
      <c r="C7" s="3">
        <f>INDEX(Forecasts!I6:I8, choice)</f>
        <v>301.03169549999996</v>
      </c>
      <c r="D7" s="3">
        <f>INDEX(Forecasts!J6:J8, choice)</f>
        <v>319.09359722999994</v>
      </c>
      <c r="E7" s="3">
        <f>INDEX(Forecasts!K6:K8, choice)</f>
        <v>336.6437450776499</v>
      </c>
      <c r="F7" s="3">
        <f>INDEX(Forecasts!L6:L8, choice)</f>
        <v>351.7927136061441</v>
      </c>
      <c r="G7" s="3">
        <f>INDEX(Forecasts!M6:M8, choice)</f>
        <v>364.10545858235912</v>
      </c>
      <c r="H7" s="3"/>
      <c r="I7" s="39"/>
      <c r="J7" t="s">
        <v>58</v>
      </c>
      <c r="P7" t="str">
        <f>unit2</f>
        <v>Flat Glass</v>
      </c>
      <c r="Q7" s="3">
        <v>50.766677122359745</v>
      </c>
    </row>
    <row r="8" spans="1:18" ht="18" customHeight="1" x14ac:dyDescent="0.25">
      <c r="A8" s="69"/>
      <c r="B8" s="40" t="s">
        <v>59</v>
      </c>
      <c r="C8" s="5">
        <f>C9-C7</f>
        <v>-269.42336747249993</v>
      </c>
      <c r="D8" s="5">
        <f t="shared" ref="D8:G8" si="0">D9-D7</f>
        <v>-283.99330153469998</v>
      </c>
      <c r="E8" s="5">
        <f t="shared" si="0"/>
        <v>-299.61293311910839</v>
      </c>
      <c r="F8" s="5">
        <f t="shared" si="0"/>
        <v>-311.33655154143753</v>
      </c>
      <c r="G8" s="5">
        <f t="shared" si="0"/>
        <v>-322.2333308453878</v>
      </c>
      <c r="H8" s="10"/>
      <c r="I8" s="69"/>
    </row>
    <row r="9" spans="1:18" ht="18" customHeight="1" thickBot="1" x14ac:dyDescent="0.3">
      <c r="A9" s="69"/>
      <c r="B9" s="41" t="s">
        <v>60</v>
      </c>
      <c r="C9" s="3">
        <f>INDEX(Forecasts!I11:I13, choice)</f>
        <v>31.608328027500008</v>
      </c>
      <c r="D9" s="3">
        <f>INDEX(Forecasts!J11:J13, choice)</f>
        <v>35.100295695299991</v>
      </c>
      <c r="E9" s="3">
        <f>INDEX(Forecasts!K11:K13, choice)</f>
        <v>37.030811958541491</v>
      </c>
      <c r="F9" s="3">
        <f>INDEX(Forecasts!L11:L13, choice)</f>
        <v>40.456162064706575</v>
      </c>
      <c r="G9" s="3">
        <f>INDEX(Forecasts!M11:M13, choice)</f>
        <v>41.872127736971301</v>
      </c>
      <c r="H9" s="3"/>
      <c r="I9" s="69"/>
      <c r="J9" s="15" t="s">
        <v>61</v>
      </c>
      <c r="K9" s="16" t="s">
        <v>32</v>
      </c>
      <c r="P9" t="s">
        <v>62</v>
      </c>
      <c r="Q9">
        <f>MATCH(B2,P6:P7, 0)</f>
        <v>1</v>
      </c>
    </row>
    <row r="10" spans="1:18" ht="18" customHeight="1" x14ac:dyDescent="0.25">
      <c r="A10" s="69"/>
      <c r="C10" s="3"/>
      <c r="D10" s="3"/>
      <c r="E10" s="3"/>
      <c r="F10" s="3"/>
      <c r="G10" s="3"/>
      <c r="H10" s="3"/>
      <c r="I10" s="69"/>
      <c r="J10" t="s">
        <v>8</v>
      </c>
      <c r="K10" s="3">
        <f>G9</f>
        <v>41.872127736971301</v>
      </c>
      <c r="M10" s="3"/>
    </row>
    <row r="11" spans="1:18" ht="18" customHeight="1" x14ac:dyDescent="0.25">
      <c r="A11" s="69"/>
      <c r="B11" s="40" t="s">
        <v>63</v>
      </c>
      <c r="C11" s="5">
        <f>-tax_rate*C9</f>
        <v>-9.4824984082500023</v>
      </c>
      <c r="D11" s="5">
        <f>-tax_rate*D9</f>
        <v>-10.530088708589997</v>
      </c>
      <c r="E11" s="5">
        <f>-tax_rate*E9</f>
        <v>-11.109243587562448</v>
      </c>
      <c r="F11" s="5">
        <f>-tax_rate*F9</f>
        <v>-12.136848619411973</v>
      </c>
      <c r="G11" s="5">
        <f>-tax_rate*G9</f>
        <v>-12.56163832109139</v>
      </c>
      <c r="H11" s="10"/>
      <c r="I11" s="69"/>
      <c r="J11" s="40" t="s">
        <v>64</v>
      </c>
      <c r="K11" s="42">
        <f>tax_rate</f>
        <v>0.3</v>
      </c>
    </row>
    <row r="12" spans="1:18" ht="18" customHeight="1" x14ac:dyDescent="0.25">
      <c r="A12" s="69"/>
      <c r="B12" s="43" t="s">
        <v>65</v>
      </c>
      <c r="C12" s="3">
        <f>SUM(C9:C11)</f>
        <v>22.125829619250005</v>
      </c>
      <c r="D12" s="3">
        <f>SUM(D9:D11)</f>
        <v>24.570206986709994</v>
      </c>
      <c r="E12" s="3">
        <f>SUM(E9:E11)</f>
        <v>25.921568370979045</v>
      </c>
      <c r="F12" s="3">
        <f>SUM(F9:F11)</f>
        <v>28.319313445294604</v>
      </c>
      <c r="G12" s="44">
        <f>SUM(G9:G11)</f>
        <v>29.310489415879911</v>
      </c>
      <c r="H12" s="3"/>
      <c r="I12" s="69"/>
      <c r="J12" s="43" t="s">
        <v>65</v>
      </c>
      <c r="K12" s="44">
        <f>K10*(1-K11)</f>
        <v>29.310489415879907</v>
      </c>
    </row>
    <row r="13" spans="1:18" ht="18" customHeight="1" x14ac:dyDescent="0.25">
      <c r="A13" s="69"/>
      <c r="C13" s="3"/>
      <c r="D13" s="3"/>
      <c r="E13" s="3"/>
      <c r="F13" s="3"/>
      <c r="G13" s="3"/>
      <c r="H13" s="3"/>
      <c r="I13" s="69"/>
      <c r="M13" s="45" t="s">
        <v>66</v>
      </c>
    </row>
    <row r="14" spans="1:18" ht="18" customHeight="1" x14ac:dyDescent="0.25">
      <c r="A14" s="69"/>
      <c r="B14" s="40" t="s">
        <v>67</v>
      </c>
      <c r="C14" s="4"/>
      <c r="D14" s="46">
        <f>-(D7-C7)/INDEX(Forecasts!$B$16:$B$17, choice)</f>
        <v>-8.3265366975299937</v>
      </c>
      <c r="E14" s="46">
        <f>-(E7-D7)/INDEX(Forecasts!$B$16:$B$17, choice)</f>
        <v>-8.0906181577666274</v>
      </c>
      <c r="F14" s="46">
        <f>-(F7-E7)/INDEX(Forecasts!$B$16:$B$17, choice)</f>
        <v>-6.9836744916358295</v>
      </c>
      <c r="I14" s="69"/>
      <c r="J14" t="s">
        <v>24</v>
      </c>
      <c r="K14" s="47">
        <f>K12*(1-K13)</f>
        <v>29.310489415879907</v>
      </c>
      <c r="M14" s="45" t="s">
        <v>32</v>
      </c>
    </row>
    <row r="15" spans="1:18" ht="18" customHeight="1" x14ac:dyDescent="0.25">
      <c r="A15" s="69"/>
      <c r="B15" s="41" t="s">
        <v>68</v>
      </c>
      <c r="C15" s="3"/>
      <c r="D15" s="3">
        <f>SUM(D12:D14)</f>
        <v>16.243670289180002</v>
      </c>
      <c r="E15" s="3">
        <f t="shared" ref="E15:F15" si="1">SUM(E12:E14)</f>
        <v>17.830950213212418</v>
      </c>
      <c r="F15" s="3">
        <f t="shared" si="1"/>
        <v>21.335638953658773</v>
      </c>
      <c r="I15" s="69"/>
      <c r="J15" t="s">
        <v>69</v>
      </c>
      <c r="K15" s="48">
        <f>INDEX(Forecasts!F11:F12, choice) * (1-tax_rate) * INDEX(Forecasts!B16:B17, choice)</f>
        <v>0.17462039045553146</v>
      </c>
      <c r="M15" s="44">
        <f>K14*(1-K17/K15)/(K16-K17)</f>
        <v>426.10268803006448</v>
      </c>
    </row>
    <row r="16" spans="1:18" ht="18" customHeight="1" x14ac:dyDescent="0.25">
      <c r="A16" s="69"/>
      <c r="C16" s="3"/>
      <c r="D16" s="3"/>
      <c r="E16" s="3"/>
      <c r="F16" s="3"/>
      <c r="G16" s="3"/>
      <c r="H16" s="3"/>
      <c r="I16" s="69"/>
      <c r="J16" t="s">
        <v>70</v>
      </c>
      <c r="K16" s="17">
        <f>WACC</f>
        <v>0.09</v>
      </c>
      <c r="M16" s="49" t="s">
        <v>71</v>
      </c>
    </row>
    <row r="17" spans="1:11" ht="18" customHeight="1" x14ac:dyDescent="0.25">
      <c r="A17" s="69"/>
      <c r="H17" s="3"/>
      <c r="I17" s="69"/>
      <c r="J17" t="s">
        <v>72</v>
      </c>
      <c r="K17" s="48">
        <f>INDEX(Forecasts!F6:F7, choice)</f>
        <v>3.5000000000000003E-2</v>
      </c>
    </row>
    <row r="18" spans="1:11" ht="18" customHeight="1" x14ac:dyDescent="0.25">
      <c r="H18" s="50"/>
      <c r="J18" s="9"/>
    </row>
    <row r="19" spans="1:11" ht="18" customHeight="1" x14ac:dyDescent="0.25">
      <c r="B19" s="1" t="s">
        <v>56</v>
      </c>
      <c r="H19" s="3"/>
    </row>
    <row r="20" spans="1:11" ht="18" customHeight="1" x14ac:dyDescent="0.25">
      <c r="B20" t="s">
        <v>73</v>
      </c>
      <c r="H20" s="3"/>
    </row>
    <row r="21" spans="1:11" ht="18" customHeight="1" x14ac:dyDescent="0.25">
      <c r="C21" s="51" t="s">
        <v>74</v>
      </c>
      <c r="D21" s="51" t="s">
        <v>75</v>
      </c>
      <c r="E21" s="51" t="s">
        <v>76</v>
      </c>
      <c r="F21" s="3"/>
      <c r="G21" s="3"/>
      <c r="H21" s="3"/>
    </row>
    <row r="22" spans="1:11" ht="18" customHeight="1" x14ac:dyDescent="0.25">
      <c r="B22" s="1"/>
      <c r="C22" s="37" t="s">
        <v>77</v>
      </c>
      <c r="D22" s="37" t="s">
        <v>78</v>
      </c>
      <c r="E22" s="37" t="s">
        <v>79</v>
      </c>
    </row>
    <row r="23" spans="1:11" ht="18" customHeight="1" thickBot="1" x14ac:dyDescent="0.3">
      <c r="B23" s="15" t="str">
        <f>currency</f>
        <v>$ MEX</v>
      </c>
      <c r="C23" s="16" t="s">
        <v>80</v>
      </c>
      <c r="D23" s="16" t="s">
        <v>81</v>
      </c>
      <c r="E23" s="16" t="s">
        <v>80</v>
      </c>
    </row>
    <row r="24" spans="1:11" ht="18" customHeight="1" x14ac:dyDescent="0.25">
      <c r="A24" s="70" t="s">
        <v>82</v>
      </c>
      <c r="B24" t="str">
        <f ca="1">D6</f>
        <v>2016E</v>
      </c>
      <c r="C24" s="44">
        <f>D15</f>
        <v>16.243670289180002</v>
      </c>
      <c r="D24" s="52">
        <f>(1+WACC)</f>
        <v>1.0900000000000001</v>
      </c>
      <c r="E24" s="3">
        <f>C24/D24</f>
        <v>14.902449806587157</v>
      </c>
    </row>
    <row r="25" spans="1:11" ht="18" customHeight="1" x14ac:dyDescent="0.25">
      <c r="A25" s="70"/>
      <c r="B25" t="str">
        <f ca="1">E6</f>
        <v>2017E</v>
      </c>
      <c r="C25" s="44">
        <f>E15</f>
        <v>17.830950213212418</v>
      </c>
      <c r="D25" s="52">
        <f>D24*(1+WACC)</f>
        <v>1.1881000000000002</v>
      </c>
      <c r="E25" s="3">
        <f t="shared" ref="E25:E27" si="2">C25/D25</f>
        <v>15.007954055392993</v>
      </c>
    </row>
    <row r="26" spans="1:11" ht="18" customHeight="1" x14ac:dyDescent="0.25">
      <c r="A26" s="70"/>
      <c r="B26" t="str">
        <f ca="1">F6</f>
        <v>2018E</v>
      </c>
      <c r="C26" s="44">
        <f>F15</f>
        <v>21.335638953658773</v>
      </c>
      <c r="D26" s="52">
        <f>D25*(1+WACC)</f>
        <v>1.2950290000000002</v>
      </c>
      <c r="E26" s="3">
        <f t="shared" si="2"/>
        <v>16.475027936562633</v>
      </c>
    </row>
    <row r="27" spans="1:11" ht="18" customHeight="1" x14ac:dyDescent="0.25">
      <c r="A27" s="70"/>
      <c r="B27" t="s">
        <v>83</v>
      </c>
      <c r="C27" s="44">
        <f>M15</f>
        <v>426.10268803006448</v>
      </c>
      <c r="D27" s="52">
        <f>D26</f>
        <v>1.2950290000000002</v>
      </c>
      <c r="E27" s="3">
        <f t="shared" si="2"/>
        <v>329.02945650642914</v>
      </c>
    </row>
    <row r="28" spans="1:11" ht="18" customHeight="1" thickBot="1" x14ac:dyDescent="0.3">
      <c r="A28" s="70"/>
      <c r="B28" s="7" t="s">
        <v>55</v>
      </c>
      <c r="C28" s="7"/>
      <c r="D28" s="7"/>
      <c r="E28" s="8">
        <f>SUM(E24:E27)</f>
        <v>375.4148883049719</v>
      </c>
    </row>
    <row r="29" spans="1:11" ht="18" customHeight="1" thickTop="1" x14ac:dyDescent="0.25"/>
    <row r="31" spans="1:11" ht="18" customHeight="1" x14ac:dyDescent="0.25">
      <c r="B31" t="s">
        <v>84</v>
      </c>
    </row>
  </sheetData>
  <mergeCells count="3">
    <mergeCell ref="A7:A17"/>
    <mergeCell ref="I8:I17"/>
    <mergeCell ref="A24:A28"/>
  </mergeCells>
  <dataValidations count="1">
    <dataValidation type="list" allowBlank="1" showInputMessage="1" showErrorMessage="1" sqref="B2">
      <formula1>business_units</formula1>
    </dataValidation>
  </dataValidations>
  <pageMargins left="0.7" right="0.7" top="0.75" bottom="0.75" header="0.3" footer="0.3"/>
  <pageSetup scale="67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opLeftCell="A2" zoomScale="130" zoomScaleNormal="130" workbookViewId="0">
      <selection activeCell="B2" sqref="B2"/>
    </sheetView>
  </sheetViews>
  <sheetFormatPr defaultRowHeight="18" customHeight="1" x14ac:dyDescent="0.25"/>
  <cols>
    <col min="1" max="1" width="20.7109375" customWidth="1"/>
  </cols>
  <sheetData>
    <row r="2" spans="1:2" ht="18" customHeight="1" x14ac:dyDescent="0.25">
      <c r="A2" s="1" t="str">
        <f>company_name</f>
        <v>Diablo Glass</v>
      </c>
    </row>
    <row r="3" spans="1:2" ht="18" customHeight="1" x14ac:dyDescent="0.25">
      <c r="A3" s="35" t="s">
        <v>85</v>
      </c>
    </row>
    <row r="4" spans="1:2" ht="18" customHeight="1" x14ac:dyDescent="0.25">
      <c r="A4" s="35"/>
    </row>
    <row r="5" spans="1:2" ht="18" customHeight="1" thickBot="1" x14ac:dyDescent="0.3">
      <c r="A5" s="15" t="str">
        <f>currency</f>
        <v>$ MEX</v>
      </c>
      <c r="B5" s="16" t="s">
        <v>32</v>
      </c>
    </row>
    <row r="6" spans="1:2" ht="18" customHeight="1" x14ac:dyDescent="0.25">
      <c r="A6" t="str">
        <f>unit1</f>
        <v>Packaged Glass</v>
      </c>
      <c r="B6" s="3">
        <f>DCF!Q6</f>
        <v>375.4148883049719</v>
      </c>
    </row>
    <row r="7" spans="1:2" ht="18" customHeight="1" x14ac:dyDescent="0.25">
      <c r="A7" t="str">
        <f>unit2</f>
        <v>Flat Glass</v>
      </c>
      <c r="B7" s="3">
        <f>DCF!Q7</f>
        <v>50.766677122359745</v>
      </c>
    </row>
    <row r="8" spans="1:2" ht="18" customHeight="1" thickBot="1" x14ac:dyDescent="0.3">
      <c r="A8" s="7" t="s">
        <v>86</v>
      </c>
      <c r="B8" s="8">
        <f>SUM(B6:B7)</f>
        <v>426.18156542733163</v>
      </c>
    </row>
    <row r="9" spans="1:2" ht="18" customHeight="1" thickTop="1" x14ac:dyDescent="0.25"/>
    <row r="10" spans="1:2" ht="18" customHeight="1" x14ac:dyDescent="0.25">
      <c r="A10" s="4" t="s">
        <v>19</v>
      </c>
      <c r="B10" s="5">
        <f>-Financials!L33</f>
        <v>-18.463053650409933</v>
      </c>
    </row>
    <row r="11" spans="1:2" ht="18" customHeight="1" x14ac:dyDescent="0.25">
      <c r="A11" t="s">
        <v>87</v>
      </c>
      <c r="B11" s="3">
        <f>SUM(B8:B10)</f>
        <v>407.71851177692167</v>
      </c>
    </row>
    <row r="12" spans="1:2" ht="18" customHeight="1" x14ac:dyDescent="0.25">
      <c r="B12" s="3"/>
    </row>
    <row r="13" spans="1:2" ht="18" customHeight="1" x14ac:dyDescent="0.25">
      <c r="A13" t="s">
        <v>88</v>
      </c>
      <c r="B13" s="3">
        <v>10.5</v>
      </c>
    </row>
    <row r="14" spans="1:2" ht="18" customHeight="1" thickBot="1" x14ac:dyDescent="0.3">
      <c r="A14" s="7" t="s">
        <v>89</v>
      </c>
      <c r="B14" s="8">
        <f>B11/B13</f>
        <v>38.830334454944918</v>
      </c>
    </row>
    <row r="15" spans="1:2" ht="18" customHeight="1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85" zoomScaleNormal="85" workbookViewId="0">
      <selection activeCell="A2" sqref="A2"/>
    </sheetView>
  </sheetViews>
  <sheetFormatPr defaultRowHeight="18" customHeight="1" x14ac:dyDescent="0.25"/>
  <cols>
    <col min="1" max="1" width="32.85546875" customWidth="1"/>
    <col min="2" max="7" width="10" customWidth="1"/>
  </cols>
  <sheetData>
    <row r="2" spans="1:7" ht="18" customHeight="1" x14ac:dyDescent="0.25">
      <c r="A2" s="1" t="s">
        <v>13</v>
      </c>
    </row>
    <row r="3" spans="1:7" ht="18" customHeight="1" x14ac:dyDescent="0.25">
      <c r="A3" t="s">
        <v>90</v>
      </c>
    </row>
    <row r="4" spans="1:7" ht="18" customHeight="1" x14ac:dyDescent="0.25">
      <c r="D4" s="68" t="s">
        <v>91</v>
      </c>
      <c r="E4" s="68"/>
      <c r="F4" s="68"/>
      <c r="G4" s="68"/>
    </row>
    <row r="6" spans="1:7" ht="18" customHeight="1" x14ac:dyDescent="0.25">
      <c r="A6" s="11" t="str">
        <f>currency</f>
        <v>$ MEX</v>
      </c>
      <c r="B6" s="53" t="s">
        <v>92</v>
      </c>
      <c r="D6" s="54" t="s">
        <v>93</v>
      </c>
      <c r="E6" s="54" t="s">
        <v>94</v>
      </c>
      <c r="F6" s="54" t="s">
        <v>95</v>
      </c>
      <c r="G6" s="54" t="s">
        <v>96</v>
      </c>
    </row>
    <row r="7" spans="1:7" ht="18" customHeight="1" x14ac:dyDescent="0.25">
      <c r="A7" s="55" t="s">
        <v>97</v>
      </c>
      <c r="B7" s="56">
        <v>12.76</v>
      </c>
      <c r="D7" s="3">
        <v>12.76</v>
      </c>
      <c r="E7" s="3">
        <v>12.76</v>
      </c>
      <c r="F7" s="3">
        <v>12.76</v>
      </c>
      <c r="G7" s="3">
        <v>12.76</v>
      </c>
    </row>
    <row r="8" spans="1:7" ht="18" customHeight="1" x14ac:dyDescent="0.25">
      <c r="A8" s="57" t="s">
        <v>98</v>
      </c>
      <c r="B8" s="5">
        <v>23.591825666144196</v>
      </c>
      <c r="D8" s="5">
        <v>2.72</v>
      </c>
      <c r="E8" s="5">
        <v>1.48</v>
      </c>
      <c r="F8" s="5">
        <v>2.72</v>
      </c>
      <c r="G8" s="5">
        <v>4.62</v>
      </c>
    </row>
    <row r="9" spans="1:7" ht="18" customHeight="1" x14ac:dyDescent="0.25">
      <c r="A9" s="55" t="s">
        <v>52</v>
      </c>
      <c r="B9" s="3">
        <f>B7*B8</f>
        <v>301.03169549999996</v>
      </c>
      <c r="D9" s="3">
        <f>D7*D8</f>
        <v>34.7072</v>
      </c>
      <c r="E9" s="3">
        <f>E7*E8</f>
        <v>18.884799999999998</v>
      </c>
      <c r="F9" s="3">
        <f>F7*F8</f>
        <v>34.7072</v>
      </c>
      <c r="G9" s="3">
        <f>G7*G8</f>
        <v>58.9512</v>
      </c>
    </row>
    <row r="10" spans="1:7" ht="18" customHeight="1" x14ac:dyDescent="0.25">
      <c r="A10" s="55"/>
      <c r="B10" s="3"/>
      <c r="D10" s="38"/>
      <c r="E10" s="38"/>
      <c r="F10" s="38"/>
      <c r="G10" s="38"/>
    </row>
    <row r="11" spans="1:7" ht="18" customHeight="1" x14ac:dyDescent="0.25">
      <c r="A11" s="58" t="s">
        <v>99</v>
      </c>
      <c r="B11" s="59"/>
      <c r="D11" s="38"/>
      <c r="E11" s="38"/>
      <c r="F11" s="38"/>
      <c r="G11" s="38"/>
    </row>
    <row r="12" spans="1:7" ht="18" customHeight="1" x14ac:dyDescent="0.25">
      <c r="A12" t="s">
        <v>100</v>
      </c>
      <c r="B12" s="3">
        <v>212.32643099529776</v>
      </c>
      <c r="D12" s="3">
        <v>20.672000000000001</v>
      </c>
      <c r="E12" s="3">
        <v>10.656000000000001</v>
      </c>
      <c r="F12" s="3">
        <v>23.391999999999999</v>
      </c>
      <c r="G12" s="3">
        <v>38.808</v>
      </c>
    </row>
    <row r="13" spans="1:7" ht="18" customHeight="1" x14ac:dyDescent="0.25">
      <c r="A13" s="4" t="s">
        <v>101</v>
      </c>
      <c r="B13" s="20">
        <v>0.45936000000000005</v>
      </c>
      <c r="D13" s="20">
        <v>0.42</v>
      </c>
      <c r="E13" s="20">
        <v>0.42</v>
      </c>
      <c r="F13" s="20">
        <v>0.42</v>
      </c>
      <c r="G13" s="20">
        <v>0.42</v>
      </c>
    </row>
    <row r="14" spans="1:7" ht="18" customHeight="1" x14ac:dyDescent="0.25">
      <c r="A14" t="s">
        <v>102</v>
      </c>
      <c r="B14" s="47">
        <f>B12*B13</f>
        <v>97.534269341999988</v>
      </c>
      <c r="D14" s="47">
        <f>D12*D13</f>
        <v>8.6822400000000002</v>
      </c>
      <c r="E14" s="47">
        <f>E12*E13</f>
        <v>4.4755200000000004</v>
      </c>
      <c r="F14" s="47">
        <f>F12*F13</f>
        <v>9.8246399999999987</v>
      </c>
      <c r="G14" s="47">
        <f>G12*G13</f>
        <v>16.29936</v>
      </c>
    </row>
    <row r="15" spans="1:7" ht="18" customHeight="1" x14ac:dyDescent="0.25">
      <c r="A15" s="58"/>
      <c r="B15" s="60"/>
      <c r="D15" s="38"/>
      <c r="E15" s="38"/>
      <c r="F15" s="38"/>
      <c r="G15" s="38"/>
    </row>
    <row r="16" spans="1:7" ht="18" customHeight="1" x14ac:dyDescent="0.25">
      <c r="A16" t="s">
        <v>103</v>
      </c>
      <c r="B16" s="47">
        <v>2756.8447805971382</v>
      </c>
      <c r="D16" s="3">
        <v>295.6521739130435</v>
      </c>
      <c r="E16" s="3">
        <v>155.46218487394958</v>
      </c>
      <c r="F16" s="3">
        <v>267.71653543307087</v>
      </c>
      <c r="G16" s="3">
        <v>469.51219512195121</v>
      </c>
    </row>
    <row r="17" spans="1:7" ht="18" customHeight="1" x14ac:dyDescent="0.25">
      <c r="A17" s="4" t="s">
        <v>104</v>
      </c>
      <c r="B17" s="61">
        <v>31011.177025164987</v>
      </c>
      <c r="D17" s="5">
        <v>35000</v>
      </c>
      <c r="E17" s="5">
        <v>37500</v>
      </c>
      <c r="F17" s="5">
        <v>28000</v>
      </c>
      <c r="G17" s="5">
        <v>31000</v>
      </c>
    </row>
    <row r="18" spans="1:7" ht="18" customHeight="1" x14ac:dyDescent="0.25">
      <c r="A18" t="s">
        <v>105</v>
      </c>
      <c r="B18" s="47">
        <f>B16*B17/1000000</f>
        <v>85.493001521999986</v>
      </c>
      <c r="D18" s="47">
        <f>D16*D17/1000000</f>
        <v>10.347826086956523</v>
      </c>
      <c r="E18" s="47">
        <f>E16*E17/1000000</f>
        <v>5.8298319327731098</v>
      </c>
      <c r="F18" s="47">
        <f>F16*F17/1000000</f>
        <v>7.4960629921259843</v>
      </c>
      <c r="G18" s="47">
        <f>G16*G17/1000000</f>
        <v>14.554878048780488</v>
      </c>
    </row>
    <row r="19" spans="1:7" ht="18" customHeight="1" x14ac:dyDescent="0.25">
      <c r="B19" s="3"/>
      <c r="D19" s="3"/>
      <c r="E19" s="3"/>
      <c r="F19" s="3"/>
      <c r="G19" s="3"/>
    </row>
    <row r="20" spans="1:7" ht="18" customHeight="1" thickBot="1" x14ac:dyDescent="0.3">
      <c r="A20" s="7" t="s">
        <v>106</v>
      </c>
      <c r="B20" s="8">
        <f>B14+B18</f>
        <v>183.02727086399997</v>
      </c>
      <c r="D20" s="8">
        <f>D14+D18</f>
        <v>19.030066086956523</v>
      </c>
      <c r="E20" s="8">
        <f>E14+E18</f>
        <v>10.30535193277311</v>
      </c>
      <c r="F20" s="8">
        <f>F14+F18</f>
        <v>17.320702992125984</v>
      </c>
      <c r="G20" s="8">
        <f>G14+G18</f>
        <v>30.854238048780488</v>
      </c>
    </row>
    <row r="21" spans="1:7" ht="18" customHeight="1" thickTop="1" x14ac:dyDescent="0.25"/>
    <row r="23" spans="1:7" ht="18" customHeight="1" x14ac:dyDescent="0.25">
      <c r="B23" s="56"/>
      <c r="C23" s="63"/>
      <c r="D23" s="62"/>
      <c r="E23" s="62"/>
      <c r="F23" s="62"/>
      <c r="G23" s="62"/>
    </row>
  </sheetData>
  <mergeCells count="1">
    <mergeCell ref="D4:G4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A2" sqref="A2"/>
    </sheetView>
  </sheetViews>
  <sheetFormatPr defaultRowHeight="18" customHeight="1" x14ac:dyDescent="0.25"/>
  <cols>
    <col min="1" max="1" width="22" customWidth="1"/>
    <col min="2" max="4" width="9.7109375" customWidth="1"/>
  </cols>
  <sheetData>
    <row r="2" spans="1:3" ht="18" customHeight="1" x14ac:dyDescent="0.25">
      <c r="A2" s="1" t="str">
        <f>company_name</f>
        <v>Diablo Glass</v>
      </c>
    </row>
    <row r="3" spans="1:3" ht="18" customHeight="1" x14ac:dyDescent="0.25">
      <c r="A3" s="35" t="s">
        <v>107</v>
      </c>
    </row>
    <row r="4" spans="1:3" ht="18" customHeight="1" x14ac:dyDescent="0.25">
      <c r="A4" s="35"/>
    </row>
    <row r="6" spans="1:3" ht="18" customHeight="1" x14ac:dyDescent="0.25">
      <c r="B6" s="37" t="s">
        <v>108</v>
      </c>
    </row>
    <row r="7" spans="1:3" ht="18" customHeight="1" x14ac:dyDescent="0.25">
      <c r="A7" t="s">
        <v>109</v>
      </c>
      <c r="B7">
        <v>545</v>
      </c>
    </row>
    <row r="8" spans="1:3" ht="18" customHeight="1" x14ac:dyDescent="0.25">
      <c r="A8" t="s">
        <v>110</v>
      </c>
      <c r="B8">
        <v>75</v>
      </c>
    </row>
    <row r="9" spans="1:3" ht="18" customHeight="1" x14ac:dyDescent="0.25">
      <c r="A9" s="4" t="s">
        <v>111</v>
      </c>
      <c r="B9" s="4">
        <v>10</v>
      </c>
    </row>
    <row r="10" spans="1:3" ht="18" customHeight="1" x14ac:dyDescent="0.25">
      <c r="A10" t="s">
        <v>112</v>
      </c>
      <c r="B10">
        <f>SUM(B7:B9)</f>
        <v>630</v>
      </c>
    </row>
    <row r="12" spans="1:3" ht="18" customHeight="1" x14ac:dyDescent="0.25">
      <c r="A12" s="4" t="s">
        <v>19</v>
      </c>
      <c r="B12" s="4">
        <v>200</v>
      </c>
    </row>
    <row r="13" spans="1:3" ht="18" customHeight="1" x14ac:dyDescent="0.25">
      <c r="A13" t="s">
        <v>20</v>
      </c>
      <c r="B13">
        <f>B10-B12</f>
        <v>430</v>
      </c>
    </row>
    <row r="15" spans="1:3" ht="18" customHeight="1" x14ac:dyDescent="0.25">
      <c r="A15" t="s">
        <v>52</v>
      </c>
      <c r="B15" s="25">
        <v>265</v>
      </c>
      <c r="C15" s="64"/>
    </row>
    <row r="16" spans="1:3" ht="18" customHeight="1" x14ac:dyDescent="0.25">
      <c r="A16" t="s">
        <v>113</v>
      </c>
      <c r="B16" s="25">
        <v>95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Cover</vt:lpstr>
      <vt:lpstr>Financials</vt:lpstr>
      <vt:lpstr>Reorganized</vt:lpstr>
      <vt:lpstr>Ratio Analysis</vt:lpstr>
      <vt:lpstr>Forecasts</vt:lpstr>
      <vt:lpstr>DCF</vt:lpstr>
      <vt:lpstr>Valuation</vt:lpstr>
      <vt:lpstr>Operations</vt:lpstr>
      <vt:lpstr>Multiples</vt:lpstr>
      <vt:lpstr>business_units</vt:lpstr>
      <vt:lpstr>choice</vt:lpstr>
      <vt:lpstr>company_name</vt:lpstr>
      <vt:lpstr>currency</vt:lpstr>
      <vt:lpstr>interest_rate</vt:lpstr>
      <vt:lpstr>start_year</vt:lpstr>
      <vt:lpstr>tax_rate</vt:lpstr>
      <vt:lpstr>unit1</vt:lpstr>
      <vt:lpstr>unit2</vt:lpstr>
      <vt:lpstr>WACC</vt:lpstr>
    </vt:vector>
  </TitlesOfParts>
  <Company>The Wharton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Wessels</dc:creator>
  <cp:lastModifiedBy>David Wessels</cp:lastModifiedBy>
  <dcterms:created xsi:type="dcterms:W3CDTF">2016-07-02T06:44:43Z</dcterms:created>
  <dcterms:modified xsi:type="dcterms:W3CDTF">2016-07-02T08:03:56Z</dcterms:modified>
</cp:coreProperties>
</file>