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\Case Studies\Corporate Finance\QuickDash\Website Files\excel\"/>
    </mc:Choice>
  </mc:AlternateContent>
  <xr:revisionPtr revIDLastSave="0" documentId="13_ncr:1_{6FF97482-3385-4888-BD2B-2FD6E87ADE08}" xr6:coauthVersionLast="43" xr6:coauthVersionMax="43" xr10:uidLastSave="{00000000-0000-0000-0000-000000000000}"/>
  <bookViews>
    <workbookView xWindow="-103" yWindow="-103" windowWidth="25920" windowHeight="16749" xr2:uid="{F15F4CF7-0C3C-4B84-93AE-F6899FEC6471}"/>
  </bookViews>
  <sheets>
    <sheet name="Cover" sheetId="1" r:id="rId1"/>
    <sheet name="IS" sheetId="2" r:id="rId2"/>
    <sheet name="BS" sheetId="3" r:id="rId3"/>
    <sheet name="Reorganized" sheetId="4" r:id="rId4"/>
    <sheet name="ROIC" sheetId="5" r:id="rId5"/>
    <sheet name="Cash Flow" sheetId="6" r:id="rId6"/>
    <sheet name="Revenue " sheetId="7" r:id="rId7"/>
    <sheet name="Margin &amp; Inventory" sheetId="8" r:id="rId8"/>
  </sheets>
  <externalReferences>
    <externalReference r:id="rId9"/>
  </externalReferences>
  <definedNames>
    <definedName name="company_name">IS!$A$2</definedName>
    <definedName name="customer1">[1]Demographics!$B$6</definedName>
    <definedName name="customer2">[1]Demographics!$B$7</definedName>
    <definedName name="customer3">[1]Demographics!$B$8</definedName>
    <definedName name="customer4">[1]Demographics!$B$9</definedName>
    <definedName name="NACS_categories">'[1]NACS Data'!$B$6:$L$6</definedName>
    <definedName name="name">IS!$A$2</definedName>
    <definedName name="_xlnm.Print_Area" localSheetId="5">'Cash Flow'!$A$1:$E$36</definedName>
    <definedName name="_xlnm.Print_Area" localSheetId="1">IS!$A$1:$L$31</definedName>
    <definedName name="_xlnm.Print_Area" localSheetId="6">'Revenue '!$A$1:$N$27</definedName>
    <definedName name="_xlnm.Print_Titles" localSheetId="6">'Revenue '!$A:$B</definedName>
    <definedName name="product_data">'[1]NACS Data'!$B$7:$L$29</definedName>
    <definedName name="product_names">#REF!</definedName>
    <definedName name="sqft_choices">[1]A2!$B$27:$B$32</definedName>
    <definedName name="start">IS!$B$6</definedName>
    <definedName name="tax_rate">[1]E1!$J$2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20" i="8" l="1"/>
  <c r="P19" i="8"/>
  <c r="I19" i="8"/>
  <c r="C17" i="8"/>
  <c r="O16" i="8"/>
  <c r="M15" i="8"/>
  <c r="O12" i="8"/>
  <c r="M11" i="8"/>
  <c r="M10" i="8"/>
  <c r="O8" i="8"/>
  <c r="A8" i="8"/>
  <c r="A9" i="8" s="1"/>
  <c r="A10" i="8" s="1"/>
  <c r="A11" i="8" s="1"/>
  <c r="A12" i="8" s="1"/>
  <c r="A13" i="8" s="1"/>
  <c r="A14" i="8" s="1"/>
  <c r="A15" i="8" s="1"/>
  <c r="A16" i="8" s="1"/>
  <c r="A19" i="8" s="1"/>
  <c r="A20" i="8" s="1"/>
  <c r="A21" i="8" s="1"/>
  <c r="A22" i="8" s="1"/>
  <c r="A23" i="8" s="1"/>
  <c r="M7" i="8"/>
  <c r="A2" i="8"/>
  <c r="F26" i="7"/>
  <c r="N25" i="7"/>
  <c r="C23" i="8"/>
  <c r="N24" i="7"/>
  <c r="I23" i="8" s="1"/>
  <c r="C22" i="8"/>
  <c r="N23" i="7"/>
  <c r="I22" i="8" s="1"/>
  <c r="C21" i="8"/>
  <c r="N22" i="7"/>
  <c r="C20" i="8"/>
  <c r="N21" i="7"/>
  <c r="I20" i="8" s="1"/>
  <c r="C19" i="8"/>
  <c r="F18" i="7"/>
  <c r="E18" i="7"/>
  <c r="E26" i="7" s="1"/>
  <c r="D18" i="7"/>
  <c r="D26" i="7" s="1"/>
  <c r="C18" i="7"/>
  <c r="C26" i="7" s="1"/>
  <c r="N17" i="7"/>
  <c r="I16" i="8" s="1"/>
  <c r="M17" i="7"/>
  <c r="H16" i="8" s="1"/>
  <c r="L17" i="7"/>
  <c r="N16" i="8" s="1"/>
  <c r="K17" i="7"/>
  <c r="F16" i="8" s="1"/>
  <c r="J17" i="7"/>
  <c r="E16" i="8" s="1"/>
  <c r="C16" i="8"/>
  <c r="N16" i="7"/>
  <c r="I15" i="8" s="1"/>
  <c r="M16" i="7"/>
  <c r="H15" i="8" s="1"/>
  <c r="L16" i="7"/>
  <c r="G15" i="8" s="1"/>
  <c r="K16" i="7"/>
  <c r="F15" i="8" s="1"/>
  <c r="J16" i="7"/>
  <c r="E15" i="8" s="1"/>
  <c r="C15" i="8"/>
  <c r="M15" i="7"/>
  <c r="H14" i="8" s="1"/>
  <c r="L15" i="7"/>
  <c r="G14" i="8" s="1"/>
  <c r="K15" i="7"/>
  <c r="F14" i="8" s="1"/>
  <c r="J15" i="7"/>
  <c r="E14" i="8" s="1"/>
  <c r="N15" i="7"/>
  <c r="C14" i="8"/>
  <c r="M14" i="7"/>
  <c r="H13" i="8" s="1"/>
  <c r="L14" i="7"/>
  <c r="G13" i="8" s="1"/>
  <c r="K14" i="7"/>
  <c r="F13" i="8" s="1"/>
  <c r="J14" i="7"/>
  <c r="E13" i="8" s="1"/>
  <c r="N14" i="7"/>
  <c r="C13" i="8"/>
  <c r="M13" i="7"/>
  <c r="H12" i="8" s="1"/>
  <c r="L13" i="7"/>
  <c r="G12" i="8" s="1"/>
  <c r="K13" i="7"/>
  <c r="F12" i="8" s="1"/>
  <c r="J13" i="7"/>
  <c r="E12" i="8" s="1"/>
  <c r="N13" i="7"/>
  <c r="C12" i="8"/>
  <c r="N12" i="7"/>
  <c r="I11" i="8" s="1"/>
  <c r="M12" i="7"/>
  <c r="H11" i="8" s="1"/>
  <c r="L12" i="7"/>
  <c r="G11" i="8" s="1"/>
  <c r="K12" i="7"/>
  <c r="F11" i="8" s="1"/>
  <c r="J12" i="7"/>
  <c r="E11" i="8" s="1"/>
  <c r="C11" i="8"/>
  <c r="M11" i="7"/>
  <c r="H10" i="8" s="1"/>
  <c r="L11" i="7"/>
  <c r="G10" i="8" s="1"/>
  <c r="K11" i="7"/>
  <c r="F10" i="8" s="1"/>
  <c r="J11" i="7"/>
  <c r="E10" i="8" s="1"/>
  <c r="N11" i="7"/>
  <c r="C10" i="8"/>
  <c r="M10" i="7"/>
  <c r="H9" i="8" s="1"/>
  <c r="L10" i="7"/>
  <c r="G9" i="8" s="1"/>
  <c r="K10" i="7"/>
  <c r="F9" i="8" s="1"/>
  <c r="J10" i="7"/>
  <c r="E9" i="8" s="1"/>
  <c r="N10" i="7"/>
  <c r="I9" i="8" s="1"/>
  <c r="C9" i="8"/>
  <c r="N9" i="7"/>
  <c r="I8" i="8" s="1"/>
  <c r="M9" i="7"/>
  <c r="H8" i="8" s="1"/>
  <c r="L9" i="7"/>
  <c r="G8" i="8" s="1"/>
  <c r="K9" i="7"/>
  <c r="F8" i="8" s="1"/>
  <c r="J9" i="7"/>
  <c r="E8" i="8" s="1"/>
  <c r="C8" i="8"/>
  <c r="N8" i="7"/>
  <c r="I7" i="8" s="1"/>
  <c r="M8" i="7"/>
  <c r="H7" i="8" s="1"/>
  <c r="L8" i="7"/>
  <c r="L18" i="7" s="1"/>
  <c r="L26" i="7" s="1"/>
  <c r="D7" i="2" s="1"/>
  <c r="K8" i="7"/>
  <c r="K18" i="7" s="1"/>
  <c r="K26" i="7" s="1"/>
  <c r="C7" i="2" s="1"/>
  <c r="J8" i="7"/>
  <c r="J18" i="7" s="1"/>
  <c r="J26" i="7" s="1"/>
  <c r="B7" i="2" s="1"/>
  <c r="G18" i="7"/>
  <c r="C7" i="8"/>
  <c r="Q7" i="7"/>
  <c r="R7" i="7" s="1"/>
  <c r="S7" i="7" s="1"/>
  <c r="T7" i="7" s="1"/>
  <c r="K7" i="7"/>
  <c r="K2" i="7" s="1"/>
  <c r="J7" i="7"/>
  <c r="J2" i="7" s="1"/>
  <c r="D7" i="7"/>
  <c r="F6" i="8" s="1"/>
  <c r="C7" i="7"/>
  <c r="E6" i="8" s="1"/>
  <c r="U2" i="7"/>
  <c r="A2" i="7"/>
  <c r="C34" i="6"/>
  <c r="B34" i="6"/>
  <c r="A30" i="6"/>
  <c r="E26" i="6"/>
  <c r="D26" i="6"/>
  <c r="C26" i="6"/>
  <c r="B26" i="6"/>
  <c r="E24" i="6"/>
  <c r="D24" i="6"/>
  <c r="C24" i="6"/>
  <c r="B24" i="6"/>
  <c r="E19" i="6"/>
  <c r="E18" i="6"/>
  <c r="E11" i="6"/>
  <c r="D11" i="6"/>
  <c r="C11" i="6"/>
  <c r="B11" i="6"/>
  <c r="E8" i="6"/>
  <c r="E7" i="6"/>
  <c r="E9" i="6" s="1"/>
  <c r="A2" i="6"/>
  <c r="A2" i="5"/>
  <c r="N29" i="4"/>
  <c r="N28" i="4"/>
  <c r="M28" i="4"/>
  <c r="L28" i="4"/>
  <c r="K28" i="4"/>
  <c r="J28" i="4"/>
  <c r="N27" i="4"/>
  <c r="N25" i="4"/>
  <c r="N24" i="4"/>
  <c r="N30" i="4" s="1"/>
  <c r="J24" i="4"/>
  <c r="F21" i="4"/>
  <c r="B19" i="4"/>
  <c r="C19" i="4" s="1"/>
  <c r="D19" i="4" s="1"/>
  <c r="E19" i="4" s="1"/>
  <c r="N17" i="4"/>
  <c r="M17" i="4"/>
  <c r="N13" i="4"/>
  <c r="N12" i="4"/>
  <c r="N14" i="4" s="1"/>
  <c r="F11" i="4"/>
  <c r="F10" i="4"/>
  <c r="F9" i="4"/>
  <c r="N8" i="4"/>
  <c r="M8" i="4"/>
  <c r="L8" i="4"/>
  <c r="K8" i="4"/>
  <c r="J8" i="4"/>
  <c r="N7" i="4"/>
  <c r="K7" i="4"/>
  <c r="J7" i="4"/>
  <c r="B6" i="4"/>
  <c r="B5" i="5" s="1"/>
  <c r="I2" i="4"/>
  <c r="A2" i="4"/>
  <c r="E24" i="3"/>
  <c r="E23" i="6" s="1"/>
  <c r="E21" i="3"/>
  <c r="E25" i="6" s="1"/>
  <c r="D21" i="3"/>
  <c r="J21" i="3" s="1"/>
  <c r="C21" i="3"/>
  <c r="I21" i="3" s="1"/>
  <c r="B21" i="3"/>
  <c r="J27" i="4" s="1"/>
  <c r="L20" i="3"/>
  <c r="L19" i="3"/>
  <c r="B17" i="3"/>
  <c r="J23" i="4" s="1"/>
  <c r="D11" i="3"/>
  <c r="D24" i="3" s="1"/>
  <c r="D6" i="3"/>
  <c r="D34" i="6" s="1"/>
  <c r="B5" i="3"/>
  <c r="J6" i="4" s="1"/>
  <c r="H2" i="3"/>
  <c r="A2" i="3"/>
  <c r="L27" i="2"/>
  <c r="B24" i="2"/>
  <c r="H24" i="2" s="1"/>
  <c r="L18" i="2"/>
  <c r="E12" i="2"/>
  <c r="D8" i="6" s="1"/>
  <c r="D12" i="2"/>
  <c r="D10" i="4" s="1"/>
  <c r="L11" i="2"/>
  <c r="I6" i="2"/>
  <c r="I17" i="3" s="1"/>
  <c r="H6" i="2"/>
  <c r="H17" i="3" s="1"/>
  <c r="C6" i="2"/>
  <c r="C6" i="4" s="1"/>
  <c r="C5" i="5" s="1"/>
  <c r="H2" i="2"/>
  <c r="I7" i="3" l="1"/>
  <c r="C11" i="2"/>
  <c r="I7" i="2"/>
  <c r="C7" i="4"/>
  <c r="I6" i="3"/>
  <c r="I12" i="8"/>
  <c r="I24" i="8" s="1"/>
  <c r="P12" i="8"/>
  <c r="P13" i="8"/>
  <c r="I13" i="8"/>
  <c r="I14" i="8"/>
  <c r="P14" i="8"/>
  <c r="L25" i="4"/>
  <c r="J7" i="3"/>
  <c r="J7" i="2"/>
  <c r="D11" i="2"/>
  <c r="D7" i="4"/>
  <c r="J11" i="3"/>
  <c r="J6" i="3"/>
  <c r="I21" i="8"/>
  <c r="P21" i="8"/>
  <c r="P9" i="8"/>
  <c r="H24" i="8"/>
  <c r="E9" i="2" s="1"/>
  <c r="G26" i="7"/>
  <c r="H26" i="7" s="1"/>
  <c r="H18" i="7"/>
  <c r="P22" i="8"/>
  <c r="B7" i="4"/>
  <c r="H6" i="3"/>
  <c r="H7" i="3"/>
  <c r="H18" i="3"/>
  <c r="B11" i="2"/>
  <c r="H25" i="2"/>
  <c r="I10" i="8"/>
  <c r="P10" i="8"/>
  <c r="P23" i="8"/>
  <c r="H5" i="3"/>
  <c r="K21" i="3"/>
  <c r="L21" i="3" s="1"/>
  <c r="E10" i="4"/>
  <c r="K27" i="4"/>
  <c r="M18" i="7"/>
  <c r="M26" i="7" s="1"/>
  <c r="E7" i="2" s="1"/>
  <c r="E7" i="8"/>
  <c r="E24" i="8" s="1"/>
  <c r="B9" i="2" s="1"/>
  <c r="N7" i="8"/>
  <c r="P8" i="8"/>
  <c r="L10" i="8"/>
  <c r="N11" i="8"/>
  <c r="L14" i="8"/>
  <c r="N15" i="8"/>
  <c r="G16" i="8"/>
  <c r="P16" i="8"/>
  <c r="I5" i="3"/>
  <c r="L27" i="4"/>
  <c r="D18" i="6"/>
  <c r="D19" i="6" s="1"/>
  <c r="E7" i="7"/>
  <c r="N18" i="7"/>
  <c r="N26" i="7" s="1"/>
  <c r="F7" i="2" s="1"/>
  <c r="F7" i="8"/>
  <c r="F24" i="8" s="1"/>
  <c r="C9" i="2" s="1"/>
  <c r="O7" i="8"/>
  <c r="O11" i="8"/>
  <c r="M14" i="8"/>
  <c r="O15" i="8"/>
  <c r="M27" i="4"/>
  <c r="L6" i="8"/>
  <c r="G7" i="8"/>
  <c r="G24" i="8" s="1"/>
  <c r="D9" i="2" s="1"/>
  <c r="P7" i="8"/>
  <c r="P24" i="8" s="1"/>
  <c r="L9" i="8"/>
  <c r="N10" i="8"/>
  <c r="P11" i="8"/>
  <c r="L13" i="8"/>
  <c r="N14" i="8"/>
  <c r="P15" i="8"/>
  <c r="B6" i="6"/>
  <c r="B33" i="6" s="1"/>
  <c r="B25" i="6"/>
  <c r="M6" i="8"/>
  <c r="M9" i="8"/>
  <c r="O10" i="8"/>
  <c r="M13" i="8"/>
  <c r="O14" i="8"/>
  <c r="J12" i="2"/>
  <c r="C24" i="2"/>
  <c r="I24" i="2" s="1"/>
  <c r="C5" i="3"/>
  <c r="K6" i="4" s="1"/>
  <c r="L17" i="4"/>
  <c r="C8" i="6"/>
  <c r="C25" i="6"/>
  <c r="L8" i="8"/>
  <c r="N9" i="8"/>
  <c r="L12" i="8"/>
  <c r="N13" i="8"/>
  <c r="L16" i="8"/>
  <c r="D6" i="2"/>
  <c r="K12" i="2"/>
  <c r="C11" i="3"/>
  <c r="H21" i="3"/>
  <c r="F13" i="4"/>
  <c r="F7" i="5" s="1"/>
  <c r="M25" i="4"/>
  <c r="D23" i="6"/>
  <c r="D25" i="6"/>
  <c r="M8" i="8"/>
  <c r="M24" i="8" s="1"/>
  <c r="C8" i="3" s="1"/>
  <c r="O9" i="8"/>
  <c r="M12" i="8"/>
  <c r="O13" i="8"/>
  <c r="M16" i="8"/>
  <c r="E6" i="3"/>
  <c r="C17" i="3"/>
  <c r="K23" i="4" s="1"/>
  <c r="L7" i="4"/>
  <c r="L7" i="8"/>
  <c r="N8" i="8"/>
  <c r="L11" i="8"/>
  <c r="N12" i="8"/>
  <c r="L15" i="8"/>
  <c r="J24" i="8" l="1"/>
  <c r="L9" i="2"/>
  <c r="F9" i="2" s="1"/>
  <c r="F8" i="2" s="1"/>
  <c r="I8" i="3"/>
  <c r="C9" i="3"/>
  <c r="K9" i="4"/>
  <c r="K10" i="4" s="1"/>
  <c r="C8" i="2"/>
  <c r="I9" i="2"/>
  <c r="B20" i="3"/>
  <c r="J13" i="4" s="1"/>
  <c r="B9" i="4"/>
  <c r="J9" i="2"/>
  <c r="D13" i="2"/>
  <c r="D8" i="2"/>
  <c r="G6" i="8"/>
  <c r="L7" i="7"/>
  <c r="L2" i="7" s="1"/>
  <c r="N6" i="8"/>
  <c r="F7" i="7"/>
  <c r="E34" i="6"/>
  <c r="M7" i="4"/>
  <c r="K6" i="3"/>
  <c r="L6" i="3" s="1"/>
  <c r="Q24" i="8"/>
  <c r="F8" i="3"/>
  <c r="N9" i="4" s="1"/>
  <c r="N10" i="4" s="1"/>
  <c r="N16" i="4" s="1"/>
  <c r="N18" i="4" s="1"/>
  <c r="L13" i="2"/>
  <c r="L18" i="3"/>
  <c r="L26" i="2"/>
  <c r="L12" i="2"/>
  <c r="L7" i="2"/>
  <c r="L12" i="3"/>
  <c r="L16" i="2"/>
  <c r="F7" i="4"/>
  <c r="L9" i="3"/>
  <c r="L19" i="2"/>
  <c r="L28" i="2"/>
  <c r="N24" i="8"/>
  <c r="D8" i="3" s="1"/>
  <c r="B8" i="2"/>
  <c r="H9" i="2"/>
  <c r="C20" i="3"/>
  <c r="C9" i="4"/>
  <c r="C24" i="3"/>
  <c r="B11" i="3"/>
  <c r="K17" i="4"/>
  <c r="C18" i="6"/>
  <c r="C19" i="6" s="1"/>
  <c r="I11" i="3"/>
  <c r="C12" i="2"/>
  <c r="L24" i="8"/>
  <c r="B8" i="3" s="1"/>
  <c r="F14" i="4"/>
  <c r="F22" i="4" s="1"/>
  <c r="F20" i="4" s="1"/>
  <c r="D6" i="4"/>
  <c r="D5" i="5" s="1"/>
  <c r="D17" i="3"/>
  <c r="L23" i="4" s="1"/>
  <c r="E6" i="2"/>
  <c r="D5" i="3"/>
  <c r="L6" i="4" s="1"/>
  <c r="D24" i="2"/>
  <c r="J24" i="2" s="1"/>
  <c r="C6" i="6"/>
  <c r="C33" i="6" s="1"/>
  <c r="J6" i="2"/>
  <c r="O24" i="8"/>
  <c r="E8" i="3" s="1"/>
  <c r="E9" i="3" s="1"/>
  <c r="K7" i="3"/>
  <c r="L7" i="3" s="1"/>
  <c r="E11" i="2"/>
  <c r="E13" i="2" s="1"/>
  <c r="K7" i="2"/>
  <c r="E7" i="4"/>
  <c r="K11" i="3"/>
  <c r="L11" i="3" s="1"/>
  <c r="E8" i="2"/>
  <c r="K9" i="2"/>
  <c r="D20" i="3"/>
  <c r="D9" i="4"/>
  <c r="K13" i="2" l="1"/>
  <c r="E11" i="4"/>
  <c r="E12" i="3"/>
  <c r="K9" i="3"/>
  <c r="B18" i="6"/>
  <c r="B19" i="6" s="1"/>
  <c r="H11" i="3"/>
  <c r="B12" i="2"/>
  <c r="B24" i="3"/>
  <c r="J17" i="4"/>
  <c r="I8" i="2"/>
  <c r="C8" i="4"/>
  <c r="C19" i="3"/>
  <c r="F6" i="2"/>
  <c r="K6" i="2"/>
  <c r="E5" i="3"/>
  <c r="M6" i="4" s="1"/>
  <c r="E24" i="2"/>
  <c r="K24" i="2" s="1"/>
  <c r="D6" i="6"/>
  <c r="D33" i="6" s="1"/>
  <c r="E6" i="4"/>
  <c r="E5" i="5" s="1"/>
  <c r="E17" i="3"/>
  <c r="M23" i="4" s="1"/>
  <c r="C14" i="6"/>
  <c r="L13" i="4"/>
  <c r="B23" i="6"/>
  <c r="K25" i="4"/>
  <c r="C23" i="6"/>
  <c r="L9" i="4"/>
  <c r="L10" i="4" s="1"/>
  <c r="D12" i="6"/>
  <c r="J8" i="3"/>
  <c r="D9" i="3"/>
  <c r="J8" i="2"/>
  <c r="D8" i="4"/>
  <c r="D19" i="3"/>
  <c r="C12" i="6"/>
  <c r="J13" i="2"/>
  <c r="D11" i="4"/>
  <c r="J17" i="3"/>
  <c r="J5" i="3"/>
  <c r="B14" i="6"/>
  <c r="K13" i="4"/>
  <c r="C12" i="3"/>
  <c r="I9" i="3"/>
  <c r="M9" i="4"/>
  <c r="M10" i="4" s="1"/>
  <c r="E12" i="6"/>
  <c r="K8" i="3"/>
  <c r="L8" i="3" s="1"/>
  <c r="E20" i="3"/>
  <c r="E9" i="4"/>
  <c r="K8" i="2"/>
  <c r="E8" i="4"/>
  <c r="E19" i="3"/>
  <c r="F10" i="5"/>
  <c r="F6" i="5"/>
  <c r="F8" i="5" s="1"/>
  <c r="F11" i="5" s="1"/>
  <c r="M7" i="7"/>
  <c r="M2" i="7" s="1"/>
  <c r="O6" i="8"/>
  <c r="H6" i="8"/>
  <c r="L8" i="2"/>
  <c r="F8" i="4"/>
  <c r="B12" i="6"/>
  <c r="H8" i="3"/>
  <c r="B9" i="3"/>
  <c r="J9" i="4"/>
  <c r="J10" i="4" s="1"/>
  <c r="C10" i="4"/>
  <c r="B8" i="6"/>
  <c r="I12" i="2"/>
  <c r="B19" i="3"/>
  <c r="H8" i="2"/>
  <c r="B8" i="4"/>
  <c r="C13" i="2"/>
  <c r="B10" i="4" l="1"/>
  <c r="B13" i="2"/>
  <c r="H9" i="3"/>
  <c r="B12" i="3"/>
  <c r="H12" i="3" s="1"/>
  <c r="K17" i="3"/>
  <c r="K5" i="3"/>
  <c r="F5" i="3"/>
  <c r="N6" i="4" s="1"/>
  <c r="F24" i="2"/>
  <c r="L24" i="2" s="1"/>
  <c r="E6" i="6"/>
  <c r="E33" i="6" s="1"/>
  <c r="L6" i="2"/>
  <c r="G7" i="7"/>
  <c r="F6" i="4"/>
  <c r="F17" i="3"/>
  <c r="N23" i="4" s="1"/>
  <c r="J12" i="4"/>
  <c r="J14" i="4" s="1"/>
  <c r="J16" i="4" s="1"/>
  <c r="J18" i="4" s="1"/>
  <c r="B10" i="5" s="1"/>
  <c r="B22" i="3"/>
  <c r="M12" i="4"/>
  <c r="E13" i="6"/>
  <c r="D13" i="6"/>
  <c r="D12" i="3"/>
  <c r="J9" i="3"/>
  <c r="K12" i="4"/>
  <c r="K14" i="4" s="1"/>
  <c r="K16" i="4" s="1"/>
  <c r="K18" i="4" s="1"/>
  <c r="C10" i="5" s="1"/>
  <c r="B13" i="6"/>
  <c r="K12" i="3"/>
  <c r="E6" i="5"/>
  <c r="C16" i="2"/>
  <c r="I13" i="2"/>
  <c r="C11" i="4"/>
  <c r="L12" i="4"/>
  <c r="L14" i="4" s="1"/>
  <c r="L16" i="4" s="1"/>
  <c r="L18" i="4" s="1"/>
  <c r="D10" i="5" s="1"/>
  <c r="C13" i="6"/>
  <c r="D6" i="5"/>
  <c r="E15" i="6"/>
  <c r="I12" i="3"/>
  <c r="E14" i="6"/>
  <c r="D14" i="6"/>
  <c r="M13" i="4"/>
  <c r="J25" i="4"/>
  <c r="C15" i="2"/>
  <c r="B15" i="2" s="1"/>
  <c r="F5" i="5" l="1"/>
  <c r="F19" i="4"/>
  <c r="C18" i="2"/>
  <c r="C19" i="2"/>
  <c r="I16" i="2"/>
  <c r="P6" i="8"/>
  <c r="I6" i="8"/>
  <c r="N7" i="7"/>
  <c r="N2" i="7" s="1"/>
  <c r="L17" i="3"/>
  <c r="L5" i="3"/>
  <c r="B11" i="4"/>
  <c r="H13" i="2"/>
  <c r="B16" i="2"/>
  <c r="C6" i="5"/>
  <c r="J12" i="3"/>
  <c r="M14" i="4"/>
  <c r="M16" i="4" s="1"/>
  <c r="M18" i="4" s="1"/>
  <c r="E10" i="5" s="1"/>
  <c r="B25" i="3"/>
  <c r="H22" i="3"/>
  <c r="B6" i="5" l="1"/>
  <c r="B7" i="6"/>
  <c r="B9" i="6" s="1"/>
  <c r="B15" i="6" s="1"/>
  <c r="C26" i="2"/>
  <c r="I26" i="2" s="1"/>
  <c r="I19" i="2"/>
  <c r="C21" i="4"/>
  <c r="C13" i="4"/>
  <c r="B18" i="2"/>
  <c r="B19" i="2"/>
  <c r="H16" i="2"/>
  <c r="B26" i="2" l="1"/>
  <c r="H19" i="2"/>
  <c r="C7" i="5"/>
  <c r="C8" i="5" s="1"/>
  <c r="C11" i="5" s="1"/>
  <c r="C14" i="4"/>
  <c r="C22" i="4" s="1"/>
  <c r="C20" i="4" s="1"/>
  <c r="B21" i="4"/>
  <c r="B13" i="4"/>
  <c r="B7" i="5" l="1"/>
  <c r="B8" i="5" s="1"/>
  <c r="B11" i="5" s="1"/>
  <c r="B14" i="4"/>
  <c r="B22" i="4" s="1"/>
  <c r="B20" i="4" s="1"/>
  <c r="H26" i="2"/>
  <c r="B28" i="2"/>
  <c r="C25" i="2" l="1"/>
  <c r="H28" i="2"/>
  <c r="B28" i="3"/>
  <c r="J29" i="4" l="1"/>
  <c r="J30" i="4" s="1"/>
  <c r="B29" i="3"/>
  <c r="I25" i="2"/>
  <c r="C28" i="2"/>
  <c r="D25" i="2" l="1"/>
  <c r="I28" i="2"/>
  <c r="C28" i="3"/>
  <c r="K29" i="4" l="1"/>
  <c r="C18" i="3"/>
  <c r="J25" i="2"/>
  <c r="B22" i="6" l="1"/>
  <c r="B27" i="6" s="1"/>
  <c r="B35" i="6" s="1"/>
  <c r="B36" i="6" s="1"/>
  <c r="K24" i="4"/>
  <c r="K30" i="4" s="1"/>
  <c r="C22" i="3"/>
  <c r="I18" i="3"/>
  <c r="D15" i="2"/>
  <c r="D16" i="2" s="1"/>
  <c r="I22" i="3" l="1"/>
  <c r="C25" i="3"/>
  <c r="C29" i="3" s="1"/>
  <c r="D18" i="2"/>
  <c r="J16" i="2"/>
  <c r="D13" i="4" l="1"/>
  <c r="D21" i="4"/>
  <c r="D19" i="2"/>
  <c r="C7" i="6" l="1"/>
  <c r="C9" i="6" s="1"/>
  <c r="C15" i="6" s="1"/>
  <c r="D26" i="2"/>
  <c r="J19" i="2"/>
  <c r="D7" i="5"/>
  <c r="D8" i="5" s="1"/>
  <c r="D11" i="5" s="1"/>
  <c r="D14" i="4"/>
  <c r="D22" i="4" s="1"/>
  <c r="D20" i="4" s="1"/>
  <c r="J26" i="2" l="1"/>
  <c r="D28" i="2"/>
  <c r="E25" i="2" l="1"/>
  <c r="J28" i="2"/>
  <c r="D28" i="3"/>
  <c r="L29" i="4" l="1"/>
  <c r="D18" i="3"/>
  <c r="K25" i="2"/>
  <c r="L24" i="4" l="1"/>
  <c r="L30" i="4" s="1"/>
  <c r="D22" i="3"/>
  <c r="J18" i="3"/>
  <c r="E15" i="2"/>
  <c r="E16" i="2" s="1"/>
  <c r="C22" i="6"/>
  <c r="C27" i="6" s="1"/>
  <c r="C35" i="6" s="1"/>
  <c r="C36" i="6" s="1"/>
  <c r="K16" i="2" l="1"/>
  <c r="E18" i="2"/>
  <c r="D25" i="3"/>
  <c r="D29" i="3" s="1"/>
  <c r="J22" i="3"/>
  <c r="E13" i="4" l="1"/>
  <c r="E21" i="4"/>
  <c r="E19" i="2"/>
  <c r="D7" i="6" l="1"/>
  <c r="D9" i="6" s="1"/>
  <c r="D15" i="6" s="1"/>
  <c r="E26" i="2"/>
  <c r="K19" i="2"/>
  <c r="E7" i="5"/>
  <c r="E8" i="5" s="1"/>
  <c r="E11" i="5" s="1"/>
  <c r="E14" i="4"/>
  <c r="E22" i="4" s="1"/>
  <c r="E20" i="4" s="1"/>
  <c r="K26" i="2" l="1"/>
  <c r="E28" i="2"/>
  <c r="K28" i="2" l="1"/>
  <c r="E28" i="3"/>
  <c r="F25" i="2"/>
  <c r="L25" i="2" s="1"/>
  <c r="M29" i="4" l="1"/>
  <c r="E18" i="3"/>
  <c r="E22" i="3" l="1"/>
  <c r="K18" i="3"/>
  <c r="E22" i="6"/>
  <c r="E27" i="6" s="1"/>
  <c r="E35" i="6" s="1"/>
  <c r="E36" i="6" s="1"/>
  <c r="D22" i="6"/>
  <c r="D27" i="6" s="1"/>
  <c r="D35" i="6" s="1"/>
  <c r="D36" i="6" s="1"/>
  <c r="M24" i="4"/>
  <c r="M30" i="4" s="1"/>
  <c r="E25" i="3" l="1"/>
  <c r="E29" i="3" s="1"/>
  <c r="K22" i="3"/>
  <c r="L22" i="3" s="1"/>
</calcChain>
</file>

<file path=xl/sharedStrings.xml><?xml version="1.0" encoding="utf-8"?>
<sst xmlns="http://schemas.openxmlformats.org/spreadsheetml/2006/main" count="150" uniqueCount="106">
  <si>
    <t>QuickDash</t>
  </si>
  <si>
    <t>Professor David Wessels</t>
  </si>
  <si>
    <t>Income Statement</t>
  </si>
  <si>
    <t>Forecast Ratios (% of sales)</t>
  </si>
  <si>
    <t>$ thousands</t>
  </si>
  <si>
    <t>Revenues</t>
  </si>
  <si>
    <t>Growth --&gt;</t>
  </si>
  <si>
    <t>Cost of sales</t>
  </si>
  <si>
    <t>Gross profit</t>
  </si>
  <si>
    <t>Selling and general</t>
  </si>
  <si>
    <t>Depreciation</t>
  </si>
  <si>
    <t>Operating income</t>
  </si>
  <si>
    <t>Interest expense</t>
  </si>
  <si>
    <t>n/a</t>
  </si>
  <si>
    <t>Pre-tax Income</t>
  </si>
  <si>
    <t>Income taxes</t>
  </si>
  <si>
    <t>Net Income</t>
  </si>
  <si>
    <t>Statement of Retained Earnings</t>
  </si>
  <si>
    <t>Starting retained earnings</t>
  </si>
  <si>
    <t>Net income</t>
  </si>
  <si>
    <t>Dividends</t>
  </si>
  <si>
    <t>Ending retained earnings</t>
  </si>
  <si>
    <t>Assets</t>
  </si>
  <si>
    <t>Forecast Ratios (days in sales)</t>
  </si>
  <si>
    <t>Cash &amp; cash equivalents</t>
  </si>
  <si>
    <t>Accounts receivable, net</t>
  </si>
  <si>
    <r>
      <t>Inventories, net</t>
    </r>
    <r>
      <rPr>
        <vertAlign val="superscript"/>
        <sz val="11"/>
        <rFont val="Calibri"/>
        <family val="2"/>
        <scheme val="minor"/>
      </rPr>
      <t>1</t>
    </r>
  </si>
  <si>
    <t>Current assets</t>
  </si>
  <si>
    <t>Property. plant &amp; equipment, net</t>
  </si>
  <si>
    <t>Total assets</t>
  </si>
  <si>
    <t>Liabilities &amp; Shareholder Equity:</t>
  </si>
  <si>
    <t>Short-term debt</t>
  </si>
  <si>
    <t>Accounts payable*</t>
  </si>
  <si>
    <t>Accrued payroll</t>
  </si>
  <si>
    <t>Dividends payable</t>
  </si>
  <si>
    <t>Current liabilities</t>
  </si>
  <si>
    <t>Long-term debt</t>
  </si>
  <si>
    <t>Total liabiliite</t>
  </si>
  <si>
    <t xml:space="preserve">                (percent of property and equipment)</t>
  </si>
  <si>
    <t>Common stock</t>
  </si>
  <si>
    <t>Retained earnings</t>
  </si>
  <si>
    <t>Total liabilities and equity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</si>
  <si>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Analysis of inventory and payables reported in days sales for simplicity.</t>
    </r>
  </si>
  <si>
    <t>After-tax Operating Profit</t>
  </si>
  <si>
    <t>Invested Capital</t>
  </si>
  <si>
    <t>Selling, general, &amp; administrative</t>
  </si>
  <si>
    <t>Inventories, net</t>
  </si>
  <si>
    <t>Depreciation &amp; amortization</t>
  </si>
  <si>
    <t>Operating current assets</t>
  </si>
  <si>
    <t>Accounts payable</t>
  </si>
  <si>
    <t>Operating taxes</t>
  </si>
  <si>
    <t>NOPAT</t>
  </si>
  <si>
    <t>Operating current liabilities</t>
  </si>
  <si>
    <t>Working capital</t>
  </si>
  <si>
    <t>Reconciliation from Net Income:</t>
  </si>
  <si>
    <t>Invested capital</t>
  </si>
  <si>
    <t>After-tax interest expense</t>
  </si>
  <si>
    <t>Reconciliation of Total Funds Invested:</t>
  </si>
  <si>
    <t>Total funds invested</t>
  </si>
  <si>
    <t>Key Ratios</t>
  </si>
  <si>
    <t>Operating Margin</t>
  </si>
  <si>
    <t>Tax Rate</t>
  </si>
  <si>
    <t>A/T Operating Margin</t>
  </si>
  <si>
    <t>Capital Turns</t>
  </si>
  <si>
    <t>Return on Invested Capital</t>
  </si>
  <si>
    <t>Cash Flow Statement</t>
  </si>
  <si>
    <t>Gross Profit</t>
  </si>
  <si>
    <t>Cash flow from operations</t>
  </si>
  <si>
    <t>Property. plant &amp; equipment</t>
  </si>
  <si>
    <t>Cash flow from investments</t>
  </si>
  <si>
    <t xml:space="preserve">Dividends  </t>
  </si>
  <si>
    <t>Cash flow from financing</t>
  </si>
  <si>
    <t>Reconciliation of Cash</t>
  </si>
  <si>
    <t>Starting cash</t>
  </si>
  <si>
    <t>Cash flows</t>
  </si>
  <si>
    <t>Ending cash</t>
  </si>
  <si>
    <t>Revenue Forecast</t>
  </si>
  <si>
    <t>Stores:</t>
  </si>
  <si>
    <t>Product Revenue (Per Store)</t>
  </si>
  <si>
    <t>Company Revenue</t>
  </si>
  <si>
    <t>Number</t>
  </si>
  <si>
    <t>Product Category</t>
  </si>
  <si>
    <t>Same-Store Growth</t>
  </si>
  <si>
    <t>Growth</t>
  </si>
  <si>
    <t>Total Products</t>
  </si>
  <si>
    <t>Inventory Profile</t>
  </si>
  <si>
    <t>Corporate Gross Profit</t>
  </si>
  <si>
    <t>Inventory</t>
  </si>
  <si>
    <t>SKU</t>
  </si>
  <si>
    <t>Gross Margin</t>
  </si>
  <si>
    <t>Days</t>
  </si>
  <si>
    <t>Alternative Snacks</t>
  </si>
  <si>
    <t>Beer</t>
  </si>
  <si>
    <t>Cigarettes</t>
  </si>
  <si>
    <t>Fluid Milk Products</t>
  </si>
  <si>
    <t>Health and Beauty Care</t>
  </si>
  <si>
    <t>Other Tobacco</t>
  </si>
  <si>
    <t>Packaged Beverages</t>
  </si>
  <si>
    <t>Packaged Sweet Snacks</t>
  </si>
  <si>
    <t>Publications</t>
  </si>
  <si>
    <t>Salty Snacks</t>
  </si>
  <si>
    <t>Automotive Products</t>
  </si>
  <si>
    <t>Frozen Food</t>
  </si>
  <si>
    <t>Liquor</t>
  </si>
  <si>
    <t>Packaged Ice Cream</t>
  </si>
  <si>
    <t>Wine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</si>
</sst>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#,##0.0;\(#,##0.0\)"/>
    <numFmt numFmtId="165" formatCode="#,##0.000_);\(#,##0.000\)"/>
    <numFmt numFmtId="166" formatCode="#,##0.00;\(#,##0.00\)"/>
    <numFmt numFmtId="167" formatCode="#,##0;\(#,##0\)"/>
    <numFmt numFmtId="168" formatCode="0.0%"/>
    <numFmt numFmtId="169" formatCode="0.0"/>
    <numFmt numFmtId="170" formatCode="#,##0.0"/>
    <numFmt numFmtId="171" formatCode="#,##0.0_);\(#,##0.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CC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</cellStyleXfs>
  <cellXfs count="111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0" fontId="6" fillId="0" borderId="0" xfId="3" applyFont="1"/>
    <xf numFmtId="0" fontId="6" fillId="0" borderId="0" xfId="4" applyFont="1"/>
    <xf numFmtId="0" fontId="1" fillId="0" borderId="0" xfId="0" applyFont="1"/>
    <xf numFmtId="0" fontId="7" fillId="0" borderId="0" xfId="3" applyFont="1"/>
    <xf numFmtId="0" fontId="1" fillId="0" borderId="0" xfId="0" applyFont="1" applyAlignment="1">
      <alignment horizontal="center"/>
    </xf>
    <xf numFmtId="164" fontId="6" fillId="0" borderId="0" xfId="4" applyNumberFormat="1" applyFont="1"/>
    <xf numFmtId="165" fontId="1" fillId="0" borderId="0" xfId="0" applyNumberFormat="1" applyFont="1"/>
    <xf numFmtId="0" fontId="7" fillId="0" borderId="1" xfId="3" applyFont="1" applyBorder="1"/>
    <xf numFmtId="0" fontId="7" fillId="0" borderId="1" xfId="4" applyFont="1" applyBorder="1"/>
    <xf numFmtId="0" fontId="7" fillId="0" borderId="1" xfId="4" applyFont="1" applyBorder="1" applyAlignment="1">
      <alignment horizontal="right"/>
    </xf>
    <xf numFmtId="166" fontId="6" fillId="0" borderId="0" xfId="3" applyNumberFormat="1" applyFont="1"/>
    <xf numFmtId="167" fontId="6" fillId="0" borderId="0" xfId="4" applyNumberFormat="1" applyFont="1"/>
    <xf numFmtId="0" fontId="1" fillId="0" borderId="0" xfId="0" applyFont="1" applyAlignment="1">
      <alignment horizontal="right"/>
    </xf>
    <xf numFmtId="168" fontId="1" fillId="0" borderId="0" xfId="2" applyNumberFormat="1"/>
    <xf numFmtId="166" fontId="1" fillId="0" borderId="0" xfId="0" applyNumberFormat="1" applyFont="1"/>
    <xf numFmtId="167" fontId="1" fillId="0" borderId="0" xfId="0" applyNumberFormat="1" applyFont="1"/>
    <xf numFmtId="37" fontId="6" fillId="0" borderId="2" xfId="3" applyNumberFormat="1" applyFont="1" applyBorder="1"/>
    <xf numFmtId="167" fontId="6" fillId="0" borderId="2" xfId="4" applyNumberFormat="1" applyFont="1" applyBorder="1"/>
    <xf numFmtId="168" fontId="1" fillId="0" borderId="2" xfId="2" applyNumberFormat="1" applyBorder="1"/>
    <xf numFmtId="168" fontId="6" fillId="2" borderId="2" xfId="0" applyNumberFormat="1" applyFont="1" applyFill="1" applyBorder="1"/>
    <xf numFmtId="37" fontId="6" fillId="0" borderId="0" xfId="3" applyNumberFormat="1" applyFont="1"/>
    <xf numFmtId="168" fontId="8" fillId="2" borderId="0" xfId="2" applyNumberFormat="1" applyFont="1" applyFill="1"/>
    <xf numFmtId="168" fontId="0" fillId="0" borderId="0" xfId="2" applyNumberFormat="1" applyFont="1"/>
    <xf numFmtId="168" fontId="8" fillId="2" borderId="0" xfId="0" applyNumberFormat="1" applyFont="1" applyFill="1"/>
    <xf numFmtId="168" fontId="6" fillId="0" borderId="0" xfId="0" applyNumberFormat="1" applyFont="1"/>
    <xf numFmtId="168" fontId="6" fillId="2" borderId="0" xfId="0" applyNumberFormat="1" applyFont="1" applyFill="1"/>
    <xf numFmtId="37" fontId="6" fillId="0" borderId="3" xfId="3" applyNumberFormat="1" applyFont="1" applyBorder="1"/>
    <xf numFmtId="167" fontId="6" fillId="0" borderId="3" xfId="4" applyNumberFormat="1" applyFont="1" applyBorder="1"/>
    <xf numFmtId="168" fontId="1" fillId="0" borderId="3" xfId="2" applyNumberFormat="1" applyBorder="1"/>
    <xf numFmtId="168" fontId="1" fillId="2" borderId="3" xfId="2" applyNumberFormat="1" applyFill="1" applyBorder="1"/>
    <xf numFmtId="168" fontId="1" fillId="0" borderId="0" xfId="0" applyNumberFormat="1" applyFont="1"/>
    <xf numFmtId="168" fontId="1" fillId="0" borderId="0" xfId="0" applyNumberFormat="1" applyFont="1" applyAlignment="1">
      <alignment horizontal="right"/>
    </xf>
    <xf numFmtId="37" fontId="6" fillId="0" borderId="4" xfId="3" applyNumberFormat="1" applyFont="1" applyBorder="1"/>
    <xf numFmtId="167" fontId="6" fillId="0" borderId="4" xfId="4" applyNumberFormat="1" applyFont="1" applyBorder="1"/>
    <xf numFmtId="168" fontId="1" fillId="0" borderId="4" xfId="2" applyNumberFormat="1" applyBorder="1"/>
    <xf numFmtId="168" fontId="1" fillId="2" borderId="4" xfId="2" applyNumberFormat="1" applyFill="1" applyBorder="1"/>
    <xf numFmtId="168" fontId="6" fillId="0" borderId="0" xfId="2" applyNumberFormat="1" applyFont="1"/>
    <xf numFmtId="168" fontId="8" fillId="0" borderId="0" xfId="0" applyNumberFormat="1" applyFont="1"/>
    <xf numFmtId="37" fontId="7" fillId="0" borderId="0" xfId="3" applyNumberFormat="1" applyFont="1"/>
    <xf numFmtId="168" fontId="8" fillId="0" borderId="0" xfId="2" applyNumberFormat="1" applyFont="1"/>
    <xf numFmtId="168" fontId="6" fillId="0" borderId="4" xfId="2" applyNumberFormat="1" applyFont="1" applyBorder="1"/>
    <xf numFmtId="37" fontId="6" fillId="0" borderId="0" xfId="4" applyNumberFormat="1" applyFont="1"/>
    <xf numFmtId="166" fontId="6" fillId="0" borderId="0" xfId="4" applyNumberFormat="1" applyFont="1"/>
    <xf numFmtId="164" fontId="6" fillId="0" borderId="0" xfId="3" applyNumberFormat="1" applyFont="1"/>
    <xf numFmtId="167" fontId="4" fillId="0" borderId="0" xfId="4" applyNumberFormat="1" applyFont="1"/>
    <xf numFmtId="169" fontId="1" fillId="0" borderId="0" xfId="0" applyNumberFormat="1" applyFont="1"/>
    <xf numFmtId="169" fontId="8" fillId="0" borderId="0" xfId="0" applyNumberFormat="1" applyFont="1"/>
    <xf numFmtId="0" fontId="6" fillId="0" borderId="3" xfId="3" applyFont="1" applyBorder="1"/>
    <xf numFmtId="167" fontId="4" fillId="0" borderId="3" xfId="4" applyNumberFormat="1" applyFont="1" applyBorder="1"/>
    <xf numFmtId="169" fontId="1" fillId="0" borderId="3" xfId="0" applyNumberFormat="1" applyFont="1" applyBorder="1"/>
    <xf numFmtId="0" fontId="7" fillId="0" borderId="4" xfId="3" applyFont="1" applyBorder="1"/>
    <xf numFmtId="167" fontId="7" fillId="0" borderId="4" xfId="4" applyNumberFormat="1" applyFont="1" applyBorder="1"/>
    <xf numFmtId="167" fontId="2" fillId="0" borderId="4" xfId="4" applyNumberFormat="1" applyFont="1" applyBorder="1"/>
    <xf numFmtId="169" fontId="1" fillId="0" borderId="4" xfId="0" applyNumberFormat="1" applyFont="1" applyBorder="1"/>
    <xf numFmtId="169" fontId="3" fillId="0" borderId="0" xfId="0" applyNumberFormat="1" applyFont="1"/>
    <xf numFmtId="167" fontId="10" fillId="0" borderId="0" xfId="0" applyNumberFormat="1" applyFont="1"/>
    <xf numFmtId="167" fontId="0" fillId="0" borderId="0" xfId="0" applyNumberFormat="1"/>
    <xf numFmtId="167" fontId="4" fillId="0" borderId="0" xfId="0" applyNumberFormat="1" applyFont="1"/>
    <xf numFmtId="169" fontId="8" fillId="0" borderId="3" xfId="0" applyNumberFormat="1" applyFont="1" applyBorder="1"/>
    <xf numFmtId="0" fontId="6" fillId="0" borderId="2" xfId="3" applyFont="1" applyBorder="1"/>
    <xf numFmtId="167" fontId="4" fillId="0" borderId="2" xfId="4" applyNumberFormat="1" applyFont="1" applyBorder="1"/>
    <xf numFmtId="9" fontId="1" fillId="0" borderId="0" xfId="0" applyNumberFormat="1" applyFont="1"/>
    <xf numFmtId="0" fontId="7" fillId="0" borderId="0" xfId="4" applyFont="1" applyAlignment="1">
      <alignment horizontal="right"/>
    </xf>
    <xf numFmtId="0" fontId="7" fillId="0" borderId="2" xfId="3" applyFont="1" applyBorder="1"/>
    <xf numFmtId="0" fontId="7" fillId="0" borderId="2" xfId="4" applyFont="1" applyBorder="1" applyAlignment="1">
      <alignment horizontal="right"/>
    </xf>
    <xf numFmtId="167" fontId="7" fillId="0" borderId="0" xfId="4" applyNumberFormat="1" applyFont="1"/>
    <xf numFmtId="37" fontId="7" fillId="0" borderId="4" xfId="3" applyNumberFormat="1" applyFont="1" applyBorder="1"/>
    <xf numFmtId="167" fontId="3" fillId="0" borderId="0" xfId="0" applyNumberFormat="1" applyFont="1"/>
    <xf numFmtId="0" fontId="3" fillId="0" borderId="4" xfId="0" applyFont="1" applyBorder="1"/>
    <xf numFmtId="167" fontId="3" fillId="0" borderId="4" xfId="0" applyNumberFormat="1" applyFont="1" applyBorder="1"/>
    <xf numFmtId="4" fontId="1" fillId="0" borderId="0" xfId="2" applyNumberFormat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1" fillId="0" borderId="2" xfId="0" applyFont="1" applyBorder="1"/>
    <xf numFmtId="170" fontId="1" fillId="0" borderId="2" xfId="0" applyNumberFormat="1" applyFont="1" applyBorder="1"/>
    <xf numFmtId="4" fontId="1" fillId="0" borderId="2" xfId="2" applyNumberFormat="1" applyBorder="1"/>
    <xf numFmtId="0" fontId="1" fillId="0" borderId="4" xfId="0" applyFont="1" applyBorder="1"/>
    <xf numFmtId="37" fontId="1" fillId="0" borderId="0" xfId="1" applyNumberFormat="1"/>
    <xf numFmtId="37" fontId="1" fillId="0" borderId="2" xfId="1" applyNumberFormat="1" applyBorder="1"/>
    <xf numFmtId="0" fontId="3" fillId="0" borderId="3" xfId="0" applyFont="1" applyBorder="1"/>
    <xf numFmtId="37" fontId="3" fillId="0" borderId="3" xfId="1" applyNumberFormat="1" applyFont="1" applyBorder="1"/>
    <xf numFmtId="0" fontId="0" fillId="0" borderId="2" xfId="0" applyBorder="1"/>
    <xf numFmtId="37" fontId="3" fillId="0" borderId="0" xfId="1" applyNumberFormat="1" applyFont="1"/>
    <xf numFmtId="37" fontId="3" fillId="0" borderId="3" xfId="0" applyNumberFormat="1" applyFont="1" applyBorder="1"/>
    <xf numFmtId="37" fontId="3" fillId="0" borderId="0" xfId="0" applyNumberFormat="1" applyFont="1"/>
    <xf numFmtId="37" fontId="1" fillId="0" borderId="4" xfId="1" applyNumberFormat="1" applyBorder="1"/>
    <xf numFmtId="1" fontId="3" fillId="0" borderId="2" xfId="0" applyNumberFormat="1" applyFont="1" applyBorder="1" applyAlignment="1">
      <alignment horizontal="right"/>
    </xf>
    <xf numFmtId="0" fontId="8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right" wrapText="1"/>
    </xf>
    <xf numFmtId="0" fontId="3" fillId="0" borderId="2" xfId="0" applyFont="1" applyBorder="1" applyAlignment="1">
      <alignment horizontal="right"/>
    </xf>
    <xf numFmtId="1" fontId="1" fillId="0" borderId="0" xfId="0" applyNumberFormat="1" applyFont="1"/>
    <xf numFmtId="3" fontId="1" fillId="0" borderId="0" xfId="0" applyNumberFormat="1" applyFont="1"/>
    <xf numFmtId="3" fontId="8" fillId="0" borderId="0" xfId="0" applyNumberFormat="1" applyFont="1"/>
    <xf numFmtId="171" fontId="1" fillId="0" borderId="0" xfId="0" applyNumberFormat="1" applyFont="1"/>
    <xf numFmtId="171" fontId="0" fillId="0" borderId="0" xfId="0" applyNumberFormat="1"/>
    <xf numFmtId="3" fontId="1" fillId="0" borderId="4" xfId="0" applyNumberFormat="1" applyFont="1" applyBorder="1"/>
    <xf numFmtId="170" fontId="1" fillId="0" borderId="4" xfId="0" applyNumberFormat="1" applyFont="1" applyBorder="1"/>
    <xf numFmtId="168" fontId="0" fillId="0" borderId="0" xfId="2" applyNumberFormat="1" applyFont="1" applyAlignment="1">
      <alignment horizontal="right"/>
    </xf>
    <xf numFmtId="171" fontId="1" fillId="0" borderId="4" xfId="0" applyNumberFormat="1" applyFont="1" applyBorder="1"/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71" fontId="8" fillId="0" borderId="0" xfId="0" applyNumberFormat="1" applyFont="1" applyAlignment="1">
      <alignment horizontal="right"/>
    </xf>
    <xf numFmtId="170" fontId="1" fillId="0" borderId="0" xfId="0" applyNumberFormat="1" applyFont="1"/>
    <xf numFmtId="171" fontId="0" fillId="0" borderId="4" xfId="0" applyNumberFormat="1" applyBorder="1"/>
  </cellXfs>
  <cellStyles count="5">
    <cellStyle name="Comma" xfId="1" builtinId="3"/>
    <cellStyle name="Normal" xfId="0" builtinId="0"/>
    <cellStyle name="Normal 4" xfId="3" xr:uid="{977CA355-7E77-4F08-A7D2-A4B1D0B4B74C}"/>
    <cellStyle name="Normal 5" xfId="4" xr:uid="{DECBCF8D-4DA5-4DEA-9B0A-1F73EBA1AF81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Case%20Studies/Corporate%20Finance/QuickDash/QuickDas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S"/>
      <sheetName val="BS"/>
      <sheetName val="Reorganized"/>
      <sheetName val="ROIC"/>
      <sheetName val="Cash Flow"/>
      <sheetName val="Revenue "/>
      <sheetName val="Margin &amp; Inventory"/>
      <sheetName val="NACS Data"/>
      <sheetName val="Checks"/>
      <sheetName val="M1"/>
      <sheetName val="M2"/>
      <sheetName val="Consumer"/>
      <sheetName val="Demographics"/>
      <sheetName val="E0"/>
      <sheetName val="E1"/>
      <sheetName val="E2"/>
      <sheetName val="E3"/>
      <sheetName val="E4"/>
      <sheetName val="E5"/>
      <sheetName val="A1"/>
      <sheetName val="A2"/>
      <sheetName val="A3"/>
      <sheetName val="Steps"/>
      <sheetName val="Source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>
        <row r="6">
          <cell r="B6" t="str">
            <v>Category</v>
          </cell>
          <cell r="C6">
            <v>2010</v>
          </cell>
          <cell r="D6">
            <v>2011</v>
          </cell>
          <cell r="E6" t="str">
            <v>2012 Rev</v>
          </cell>
          <cell r="G6" t="str">
            <v>2012 GM</v>
          </cell>
          <cell r="H6" t="str">
            <v>GM</v>
          </cell>
          <cell r="J6">
            <v>2011</v>
          </cell>
          <cell r="K6" t="str">
            <v>2012 Rev</v>
          </cell>
          <cell r="L6" t="str">
            <v>Average</v>
          </cell>
        </row>
        <row r="7">
          <cell r="B7" t="str">
            <v>Cigarettes</v>
          </cell>
          <cell r="C7">
            <v>475256</v>
          </cell>
          <cell r="D7">
            <v>472889</v>
          </cell>
          <cell r="E7">
            <v>467766</v>
          </cell>
          <cell r="G7">
            <v>75905</v>
          </cell>
          <cell r="H7">
            <v>0.16200000000000001</v>
          </cell>
          <cell r="J7">
            <v>-4.9804736815526329E-3</v>
          </cell>
          <cell r="K7">
            <v>-1.0833409108691461E-2</v>
          </cell>
          <cell r="L7">
            <v>-7.9069413951220469E-3</v>
          </cell>
        </row>
        <row r="8">
          <cell r="B8" t="str">
            <v>Other Tobacco</v>
          </cell>
          <cell r="C8">
            <v>65675</v>
          </cell>
          <cell r="D8">
            <v>69352</v>
          </cell>
          <cell r="E8">
            <v>72889</v>
          </cell>
          <cell r="G8">
            <v>22538</v>
          </cell>
          <cell r="H8">
            <v>0.309</v>
          </cell>
          <cell r="J8">
            <v>5.5987818804720257E-2</v>
          </cell>
          <cell r="K8">
            <v>5.1000692121351943E-2</v>
          </cell>
          <cell r="L8">
            <v>5.34942554630361E-2</v>
          </cell>
        </row>
        <row r="9">
          <cell r="B9" t="str">
            <v>Beer</v>
          </cell>
          <cell r="C9">
            <v>187023</v>
          </cell>
          <cell r="D9">
            <v>193437</v>
          </cell>
          <cell r="E9">
            <v>204327</v>
          </cell>
          <cell r="G9">
            <v>40415</v>
          </cell>
          <cell r="H9">
            <v>0.19800000000000001</v>
          </cell>
          <cell r="J9">
            <v>3.42952471086444E-2</v>
          </cell>
          <cell r="K9">
            <v>5.6297399153212746E-2</v>
          </cell>
          <cell r="L9">
            <v>4.5296323130928573E-2</v>
          </cell>
        </row>
        <row r="10">
          <cell r="B10" t="str">
            <v>Wine</v>
          </cell>
          <cell r="C10">
            <v>7174</v>
          </cell>
          <cell r="D10">
            <v>7650</v>
          </cell>
          <cell r="E10">
            <v>8186</v>
          </cell>
          <cell r="G10">
            <v>2344</v>
          </cell>
          <cell r="H10">
            <v>0.28599999999999998</v>
          </cell>
          <cell r="J10">
            <v>6.6350710900473953E-2</v>
          </cell>
          <cell r="K10">
            <v>7.0065359477124112E-2</v>
          </cell>
          <cell r="L10">
            <v>6.8208035188799032E-2</v>
          </cell>
        </row>
        <row r="11">
          <cell r="B11" t="str">
            <v>Liquor</v>
          </cell>
          <cell r="C11">
            <v>42269</v>
          </cell>
          <cell r="D11">
            <v>44084</v>
          </cell>
          <cell r="E11">
            <v>48236</v>
          </cell>
          <cell r="G11">
            <v>11844</v>
          </cell>
          <cell r="H11">
            <v>0.246</v>
          </cell>
          <cell r="J11">
            <v>4.2939269914121558E-2</v>
          </cell>
          <cell r="K11">
            <v>9.4183830868342255E-2</v>
          </cell>
          <cell r="L11">
            <v>6.8561550391231907E-2</v>
          </cell>
        </row>
        <row r="12">
          <cell r="B12" t="str">
            <v>Packaged Beverages</v>
          </cell>
          <cell r="C12">
            <v>183733</v>
          </cell>
          <cell r="D12">
            <v>195282</v>
          </cell>
          <cell r="E12">
            <v>207891</v>
          </cell>
          <cell r="G12">
            <v>90746</v>
          </cell>
          <cell r="H12">
            <v>0.437</v>
          </cell>
          <cell r="J12">
            <v>6.2857516069513952E-2</v>
          </cell>
          <cell r="K12">
            <v>6.4568162964328435E-2</v>
          </cell>
          <cell r="L12">
            <v>6.3712839516921194E-2</v>
          </cell>
        </row>
        <row r="13">
          <cell r="B13" t="str">
            <v>Candy</v>
          </cell>
          <cell r="C13">
            <v>45632</v>
          </cell>
          <cell r="D13">
            <v>48383</v>
          </cell>
          <cell r="E13">
            <v>51793</v>
          </cell>
          <cell r="G13">
            <v>27234</v>
          </cell>
          <cell r="H13">
            <v>0.52600000000000002</v>
          </cell>
          <cell r="J13">
            <v>6.0286640953716608E-2</v>
          </cell>
          <cell r="K13">
            <v>7.0479300580782445E-2</v>
          </cell>
          <cell r="L13">
            <v>6.5382970767249526E-2</v>
          </cell>
        </row>
        <row r="14">
          <cell r="B14" t="str">
            <v>Salty Snacks</v>
          </cell>
          <cell r="C14">
            <v>52967</v>
          </cell>
          <cell r="D14">
            <v>57752</v>
          </cell>
          <cell r="E14">
            <v>63449</v>
          </cell>
          <cell r="G14">
            <v>27014</v>
          </cell>
          <cell r="H14">
            <v>0.42599999999999999</v>
          </cell>
          <cell r="J14">
            <v>9.0339267846017313E-2</v>
          </cell>
          <cell r="K14">
            <v>9.8645934339936181E-2</v>
          </cell>
          <cell r="L14">
            <v>9.4492601092976747E-2</v>
          </cell>
        </row>
        <row r="15">
          <cell r="B15" t="str">
            <v>Packaged Sweet Snacks</v>
          </cell>
          <cell r="C15">
            <v>23780</v>
          </cell>
          <cell r="D15">
            <v>25629</v>
          </cell>
          <cell r="E15">
            <v>27636</v>
          </cell>
          <cell r="G15">
            <v>11226</v>
          </cell>
          <cell r="H15">
            <v>0.40600000000000003</v>
          </cell>
          <cell r="J15">
            <v>7.7754415475189242E-2</v>
          </cell>
          <cell r="K15">
            <v>7.8309727262085849E-2</v>
          </cell>
          <cell r="L15">
            <v>7.8032071368637546E-2</v>
          </cell>
        </row>
        <row r="16">
          <cell r="B16" t="str">
            <v>Alternative Snacks</v>
          </cell>
          <cell r="C16">
            <v>12305</v>
          </cell>
          <cell r="D16">
            <v>14098</v>
          </cell>
          <cell r="E16">
            <v>16005</v>
          </cell>
          <cell r="G16">
            <v>7241</v>
          </cell>
          <cell r="H16">
            <v>0.45200000000000001</v>
          </cell>
          <cell r="J16">
            <v>0.14571312474603815</v>
          </cell>
          <cell r="K16">
            <v>0.13526741381756269</v>
          </cell>
          <cell r="L16">
            <v>0.14049026928180042</v>
          </cell>
        </row>
        <row r="17">
          <cell r="B17" t="str">
            <v>Frozen Food</v>
          </cell>
          <cell r="C17">
            <v>4537</v>
          </cell>
          <cell r="D17">
            <v>4760</v>
          </cell>
          <cell r="E17">
            <v>4629</v>
          </cell>
          <cell r="G17">
            <v>2120</v>
          </cell>
          <cell r="H17">
            <v>0.45800000000000002</v>
          </cell>
          <cell r="J17">
            <v>4.9151421644258342E-2</v>
          </cell>
          <cell r="K17">
            <v>-2.7521008403361358E-2</v>
          </cell>
          <cell r="L17">
            <v>1.0815206620448492E-2</v>
          </cell>
        </row>
        <row r="18">
          <cell r="B18" t="str">
            <v>Packaged Ice Cream</v>
          </cell>
          <cell r="C18">
            <v>15740</v>
          </cell>
          <cell r="D18">
            <v>16905</v>
          </cell>
          <cell r="E18">
            <v>18237</v>
          </cell>
          <cell r="G18">
            <v>8101</v>
          </cell>
          <cell r="H18">
            <v>0.44400000000000001</v>
          </cell>
          <cell r="J18">
            <v>7.4015247776366033E-2</v>
          </cell>
          <cell r="K18">
            <v>7.8793256433008052E-2</v>
          </cell>
          <cell r="L18">
            <v>7.6404252104687043E-2</v>
          </cell>
        </row>
        <row r="19">
          <cell r="B19" t="str">
            <v>Ice</v>
          </cell>
          <cell r="C19">
            <v>12051</v>
          </cell>
          <cell r="D19">
            <v>13087</v>
          </cell>
          <cell r="E19">
            <v>14056</v>
          </cell>
          <cell r="G19">
            <v>10192</v>
          </cell>
          <cell r="H19">
            <v>0.72499999999999998</v>
          </cell>
          <cell r="J19">
            <v>8.5967969463115024E-2</v>
          </cell>
          <cell r="K19">
            <v>7.4042943378925585E-2</v>
          </cell>
          <cell r="L19">
            <v>8.0005456421020305E-2</v>
          </cell>
        </row>
        <row r="20">
          <cell r="B20" t="str">
            <v>Edible Grocery</v>
          </cell>
          <cell r="C20">
            <v>21225</v>
          </cell>
          <cell r="D20">
            <v>20427</v>
          </cell>
          <cell r="E20">
            <v>20439</v>
          </cell>
          <cell r="G20">
            <v>8937</v>
          </cell>
          <cell r="H20">
            <v>0.437</v>
          </cell>
          <cell r="J20">
            <v>-3.7597173144876317E-2</v>
          </cell>
          <cell r="K20">
            <v>5.8745777647239983E-4</v>
          </cell>
          <cell r="L20">
            <v>-1.8504857684201959E-2</v>
          </cell>
        </row>
        <row r="21">
          <cell r="B21" t="str">
            <v>Non-Edible Grocery</v>
          </cell>
          <cell r="C21">
            <v>6159</v>
          </cell>
          <cell r="D21">
            <v>5384</v>
          </cell>
          <cell r="E21">
            <v>5837</v>
          </cell>
          <cell r="G21">
            <v>2438</v>
          </cell>
          <cell r="H21">
            <v>0.41799999999999998</v>
          </cell>
          <cell r="J21">
            <v>-0.1258321156031823</v>
          </cell>
          <cell r="K21">
            <v>8.4138187221396654E-2</v>
          </cell>
          <cell r="L21">
            <v>-2.0846964190892825E-2</v>
          </cell>
        </row>
        <row r="22">
          <cell r="B22" t="str">
            <v>Perishable Grocery</v>
          </cell>
          <cell r="C22">
            <v>4827</v>
          </cell>
          <cell r="D22">
            <v>4805</v>
          </cell>
          <cell r="E22">
            <v>4648</v>
          </cell>
          <cell r="G22">
            <v>2087</v>
          </cell>
          <cell r="H22">
            <v>0.44900000000000001</v>
          </cell>
          <cell r="J22">
            <v>-4.557696291692559E-3</v>
          </cell>
          <cell r="K22">
            <v>-3.2674297606659741E-2</v>
          </cell>
          <cell r="L22">
            <v>-1.861599694917615E-2</v>
          </cell>
        </row>
        <row r="23">
          <cell r="B23" t="str">
            <v>Fluid Milk Products</v>
          </cell>
          <cell r="C23">
            <v>29430</v>
          </cell>
          <cell r="D23">
            <v>30905</v>
          </cell>
          <cell r="E23">
            <v>31435</v>
          </cell>
          <cell r="G23">
            <v>8506</v>
          </cell>
          <cell r="H23">
            <v>0.27100000000000002</v>
          </cell>
          <cell r="J23">
            <v>5.0118926265715347E-2</v>
          </cell>
          <cell r="K23">
            <v>1.7149328587607204E-2</v>
          </cell>
          <cell r="L23">
            <v>3.3634127426661276E-2</v>
          </cell>
        </row>
        <row r="24">
          <cell r="B24" t="str">
            <v>Other Dairy</v>
          </cell>
          <cell r="C24">
            <v>18547</v>
          </cell>
          <cell r="D24">
            <v>16861</v>
          </cell>
          <cell r="E24">
            <v>17890</v>
          </cell>
          <cell r="G24">
            <v>7351</v>
          </cell>
          <cell r="H24">
            <v>0.41099999999999998</v>
          </cell>
          <cell r="J24">
            <v>-9.0904189356769249E-2</v>
          </cell>
          <cell r="K24">
            <v>6.1028408753929231E-2</v>
          </cell>
          <cell r="L24">
            <v>-1.4937890301420009E-2</v>
          </cell>
        </row>
        <row r="25">
          <cell r="B25" t="str">
            <v>Packaged Bread</v>
          </cell>
          <cell r="C25">
            <v>12908</v>
          </cell>
          <cell r="D25">
            <v>13155</v>
          </cell>
          <cell r="E25">
            <v>13380</v>
          </cell>
          <cell r="G25">
            <v>4100</v>
          </cell>
          <cell r="H25">
            <v>0.30599999999999999</v>
          </cell>
          <cell r="J25">
            <v>1.9135419894638961E-2</v>
          </cell>
          <cell r="K25">
            <v>1.7103762827822111E-2</v>
          </cell>
          <cell r="L25">
            <v>1.8119591361230536E-2</v>
          </cell>
        </row>
        <row r="26">
          <cell r="B26" t="str">
            <v>Health and Beauty Care</v>
          </cell>
          <cell r="C26">
            <v>15794</v>
          </cell>
          <cell r="D26">
            <v>16326</v>
          </cell>
          <cell r="E26">
            <v>16510</v>
          </cell>
          <cell r="G26">
            <v>9050</v>
          </cell>
          <cell r="H26">
            <v>0.54800000000000004</v>
          </cell>
          <cell r="J26">
            <v>3.3683677345827556E-2</v>
          </cell>
          <cell r="K26">
            <v>1.1270366286904254E-2</v>
          </cell>
          <cell r="L26">
            <v>2.2477021816365905E-2</v>
          </cell>
        </row>
        <row r="27">
          <cell r="B27" t="str">
            <v>Automotive Products</v>
          </cell>
          <cell r="C27">
            <v>10276</v>
          </cell>
          <cell r="D27">
            <v>10547</v>
          </cell>
          <cell r="E27">
            <v>10675</v>
          </cell>
          <cell r="G27">
            <v>4866</v>
          </cell>
          <cell r="H27">
            <v>0.45600000000000002</v>
          </cell>
          <cell r="J27">
            <v>2.6372129233164676E-2</v>
          </cell>
          <cell r="K27">
            <v>1.2136152460415328E-2</v>
          </cell>
          <cell r="L27">
            <v>1.9254140846790002E-2</v>
          </cell>
        </row>
        <row r="28">
          <cell r="B28" t="str">
            <v>Publications</v>
          </cell>
          <cell r="C28">
            <v>14920</v>
          </cell>
          <cell r="D28">
            <v>14844</v>
          </cell>
          <cell r="E28">
            <v>14162</v>
          </cell>
          <cell r="G28">
            <v>3827</v>
          </cell>
          <cell r="H28">
            <v>0.27</v>
          </cell>
          <cell r="J28">
            <v>-5.0938337801608169E-3</v>
          </cell>
          <cell r="K28">
            <v>-4.5944489355968732E-2</v>
          </cell>
          <cell r="L28">
            <v>-2.5519161568064774E-2</v>
          </cell>
        </row>
        <row r="29">
          <cell r="B29" t="str">
            <v>General Merchandise</v>
          </cell>
          <cell r="C29">
            <v>62864</v>
          </cell>
          <cell r="D29">
            <v>61624</v>
          </cell>
          <cell r="E29">
            <v>62485</v>
          </cell>
          <cell r="G29">
            <v>26691</v>
          </cell>
          <cell r="H29">
            <v>0.42699999999999999</v>
          </cell>
          <cell r="J29">
            <v>-1.9725120895902282E-2</v>
          </cell>
          <cell r="K29">
            <v>1.3971829157471083E-2</v>
          </cell>
          <cell r="L29">
            <v>-2.8766458692155994E-3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>
        <row r="6">
          <cell r="B6" t="str">
            <v>Elderly</v>
          </cell>
        </row>
        <row r="7">
          <cell r="B7" t="str">
            <v>White Col</v>
          </cell>
        </row>
        <row r="8">
          <cell r="B8" t="str">
            <v>Stay Home</v>
          </cell>
        </row>
        <row r="9">
          <cell r="B9" t="str">
            <v>Blue Col</v>
          </cell>
        </row>
      </sheetData>
      <sheetData sheetId="14" refreshError="1"/>
      <sheetData sheetId="15">
        <row r="2">
          <cell r="J2">
            <v>0.35</v>
          </cell>
        </row>
      </sheetData>
      <sheetData sheetId="16">
        <row r="7">
          <cell r="C7" t="str">
            <v>Alternative Snacks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>
        <row r="27">
          <cell r="B27">
            <v>0</v>
          </cell>
        </row>
        <row r="28">
          <cell r="B28">
            <v>50</v>
          </cell>
        </row>
        <row r="29">
          <cell r="B29">
            <v>200</v>
          </cell>
        </row>
        <row r="30">
          <cell r="B30">
            <v>500</v>
          </cell>
        </row>
        <row r="31">
          <cell r="B31">
            <v>800</v>
          </cell>
        </row>
        <row r="32">
          <cell r="B32">
            <v>800</v>
          </cell>
        </row>
      </sheetData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C7DE2-77FB-4B91-89C0-8B545C711AC3}">
  <dimension ref="B3:B5"/>
  <sheetViews>
    <sheetView tabSelected="1" workbookViewId="0">
      <selection activeCell="B3" sqref="B3"/>
    </sheetView>
  </sheetViews>
  <sheetFormatPr defaultRowHeight="18" customHeight="1" x14ac:dyDescent="0.4"/>
  <sheetData>
    <row r="3" spans="2:2" ht="21.75" customHeight="1" x14ac:dyDescent="0.4">
      <c r="B3" s="1" t="s">
        <v>0</v>
      </c>
    </row>
    <row r="4" spans="2:2" ht="21.75" customHeight="1" x14ac:dyDescent="0.4">
      <c r="B4" t="s">
        <v>1</v>
      </c>
    </row>
    <row r="5" spans="2:2" ht="21.75" customHeight="1" x14ac:dyDescent="0.4">
      <c r="B5" s="2">
        <v>2019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A8251-DCE3-457A-B627-F352EB3B82F9}">
  <dimension ref="A1:S62"/>
  <sheetViews>
    <sheetView showGridLines="0" zoomScale="85" zoomScaleNormal="85" workbookViewId="0">
      <selection activeCell="A2" sqref="A2"/>
    </sheetView>
  </sheetViews>
  <sheetFormatPr defaultColWidth="9.15234375" defaultRowHeight="18" customHeight="1" x14ac:dyDescent="0.4"/>
  <cols>
    <col min="1" max="1" width="29.3828125" style="5" customWidth="1"/>
    <col min="2" max="2" width="9.3828125" style="5" customWidth="1"/>
    <col min="3" max="16384" width="9.15234375" style="5"/>
  </cols>
  <sheetData>
    <row r="1" spans="1:19" ht="18" customHeight="1" x14ac:dyDescent="0.4">
      <c r="A1" s="3"/>
      <c r="B1" s="4"/>
      <c r="C1" s="4"/>
      <c r="D1" s="4"/>
      <c r="E1" s="4"/>
      <c r="F1" s="4"/>
    </row>
    <row r="2" spans="1:19" ht="18" customHeight="1" x14ac:dyDescent="0.4">
      <c r="A2" s="6" t="s">
        <v>0</v>
      </c>
      <c r="B2" s="4"/>
      <c r="C2" s="4"/>
      <c r="D2" s="4"/>
      <c r="E2" s="4"/>
      <c r="F2" s="4"/>
      <c r="H2" s="1" t="str">
        <f>name</f>
        <v>QuickDash</v>
      </c>
      <c r="L2" s="7"/>
    </row>
    <row r="3" spans="1:19" ht="18" customHeight="1" x14ac:dyDescent="0.4">
      <c r="A3" s="3" t="s">
        <v>2</v>
      </c>
      <c r="B3" s="8"/>
      <c r="C3" s="4"/>
      <c r="D3" s="4"/>
      <c r="E3" s="4"/>
      <c r="F3" s="4"/>
      <c r="H3" s="5" t="s">
        <v>3</v>
      </c>
      <c r="L3" s="7"/>
    </row>
    <row r="4" spans="1:19" ht="18" customHeight="1" x14ac:dyDescent="0.4">
      <c r="B4" s="9"/>
      <c r="C4" s="9"/>
      <c r="D4" s="9"/>
      <c r="E4" s="9"/>
      <c r="F4" s="9"/>
    </row>
    <row r="5" spans="1:19" ht="18" customHeight="1" x14ac:dyDescent="0.4">
      <c r="A5" s="3"/>
      <c r="B5" s="4"/>
      <c r="C5" s="4"/>
      <c r="D5" s="4"/>
      <c r="E5" s="4"/>
      <c r="F5" s="4"/>
    </row>
    <row r="6" spans="1:19" ht="18" customHeight="1" thickBot="1" x14ac:dyDescent="0.45">
      <c r="A6" s="10" t="s">
        <v>4</v>
      </c>
      <c r="B6" s="11">
        <v>2015</v>
      </c>
      <c r="C6" s="11">
        <f>B6+1</f>
        <v>2016</v>
      </c>
      <c r="D6" s="11">
        <f>C6+1</f>
        <v>2017</v>
      </c>
      <c r="E6" s="11">
        <f>D6+1</f>
        <v>2018</v>
      </c>
      <c r="F6" s="12" t="str">
        <f>(E6+1) &amp; "E"</f>
        <v>2019E</v>
      </c>
      <c r="H6" s="11">
        <f>B6</f>
        <v>2015</v>
      </c>
      <c r="I6" s="11">
        <f>C6</f>
        <v>2016</v>
      </c>
      <c r="J6" s="11">
        <f>D6</f>
        <v>2017</v>
      </c>
      <c r="K6" s="12">
        <f>E6</f>
        <v>2018</v>
      </c>
      <c r="L6" s="12" t="str">
        <f>F6</f>
        <v>2019E</v>
      </c>
    </row>
    <row r="7" spans="1:19" ht="18" customHeight="1" x14ac:dyDescent="0.4">
      <c r="A7" s="13" t="s">
        <v>5</v>
      </c>
      <c r="B7" s="14">
        <f>'Revenue '!J26</f>
        <v>19334.28</v>
      </c>
      <c r="C7" s="14">
        <f>'Revenue '!K26</f>
        <v>24859.824999999997</v>
      </c>
      <c r="D7" s="14">
        <f>'Revenue '!L26</f>
        <v>30682.170000000002</v>
      </c>
      <c r="E7" s="14">
        <f>'Revenue '!M26</f>
        <v>37114.944999999992</v>
      </c>
      <c r="F7" s="14">
        <f>'Revenue '!N26</f>
        <v>43978.159999999996</v>
      </c>
      <c r="H7" s="15" t="s">
        <v>6</v>
      </c>
      <c r="I7" s="16">
        <f>C7/B7-1</f>
        <v>0.2857900578661321</v>
      </c>
      <c r="J7" s="16">
        <f>D7/C7-1</f>
        <v>0.23420699864138239</v>
      </c>
      <c r="K7" s="16">
        <f>E7/D7-1</f>
        <v>0.20965841073170477</v>
      </c>
      <c r="L7" s="16">
        <f>F7/E7-1</f>
        <v>0.18491782757592667</v>
      </c>
      <c r="N7" s="17"/>
      <c r="O7" s="17"/>
      <c r="P7" s="17"/>
      <c r="Q7" s="17"/>
      <c r="R7" s="18"/>
      <c r="S7" s="18"/>
    </row>
    <row r="8" spans="1:19" ht="18" customHeight="1" x14ac:dyDescent="0.4">
      <c r="A8" s="19" t="s">
        <v>7</v>
      </c>
      <c r="B8" s="20">
        <f>B9-B7</f>
        <v>-14484.914359999999</v>
      </c>
      <c r="C8" s="20">
        <f>C9-C7</f>
        <v>-18534.329499999996</v>
      </c>
      <c r="D8" s="20">
        <f>D9-D7</f>
        <v>-22758.853200000001</v>
      </c>
      <c r="E8" s="20">
        <f>E9-E7</f>
        <v>-27401.733029999989</v>
      </c>
      <c r="F8" s="20">
        <f>F9-F7</f>
        <v>-32320.675279999996</v>
      </c>
      <c r="H8" s="21">
        <f>-B8/B$7</f>
        <v>0.74918302414157645</v>
      </c>
      <c r="I8" s="21">
        <f>-C8/C$7</f>
        <v>0.74555349846589825</v>
      </c>
      <c r="J8" s="21">
        <f>-D8/D$7</f>
        <v>0.74176152469007239</v>
      </c>
      <c r="K8" s="21">
        <f>-E8/E$7</f>
        <v>0.73829377976984722</v>
      </c>
      <c r="L8" s="22">
        <f>-F8/F7</f>
        <v>0.73492559215756181</v>
      </c>
      <c r="N8" s="17"/>
      <c r="O8" s="17"/>
      <c r="P8" s="17"/>
      <c r="Q8" s="17"/>
    </row>
    <row r="9" spans="1:19" ht="18" customHeight="1" x14ac:dyDescent="0.4">
      <c r="A9" s="23" t="s">
        <v>8</v>
      </c>
      <c r="B9" s="14">
        <f>'Margin &amp; Inventory'!E24</f>
        <v>4849.3656400000009</v>
      </c>
      <c r="C9" s="14">
        <f>'Margin &amp; Inventory'!F24</f>
        <v>6325.4955</v>
      </c>
      <c r="D9" s="14">
        <f>'Margin &amp; Inventory'!G24</f>
        <v>7923.3168000000005</v>
      </c>
      <c r="E9" s="14">
        <f>'Margin &amp; Inventory'!H24</f>
        <v>9713.2119700000021</v>
      </c>
      <c r="F9" s="14">
        <f>L9*F7</f>
        <v>11657.48472</v>
      </c>
      <c r="H9" s="16">
        <f>B9/B7</f>
        <v>0.25081697585842355</v>
      </c>
      <c r="I9" s="16">
        <f>C9/C7</f>
        <v>0.25444650153410175</v>
      </c>
      <c r="J9" s="16">
        <f>D9/D7</f>
        <v>0.25823847530992755</v>
      </c>
      <c r="K9" s="16">
        <f>E9/E7</f>
        <v>0.26170622023015266</v>
      </c>
      <c r="L9" s="24">
        <f>'Margin &amp; Inventory'!I24/'Revenue '!N26</f>
        <v>0.26507440784243819</v>
      </c>
      <c r="N9" s="17"/>
      <c r="O9" s="17"/>
      <c r="P9" s="17"/>
      <c r="Q9" s="17"/>
    </row>
    <row r="10" spans="1:19" ht="18" customHeight="1" x14ac:dyDescent="0.4">
      <c r="A10" s="23"/>
      <c r="B10" s="14"/>
      <c r="C10" s="14"/>
      <c r="D10" s="14"/>
      <c r="E10" s="14"/>
      <c r="F10" s="14"/>
      <c r="H10" s="16"/>
      <c r="I10" s="16"/>
      <c r="J10" s="16"/>
      <c r="K10" s="25"/>
      <c r="L10" s="26"/>
      <c r="N10" s="17"/>
      <c r="O10" s="17"/>
      <c r="P10" s="17"/>
      <c r="Q10" s="17"/>
    </row>
    <row r="11" spans="1:19" ht="18" customHeight="1" x14ac:dyDescent="0.4">
      <c r="A11" s="23" t="s">
        <v>9</v>
      </c>
      <c r="B11" s="14">
        <f>-B7*H11</f>
        <v>-3170.8219199999999</v>
      </c>
      <c r="C11" s="14">
        <f>-C7*I11</f>
        <v>-4002.4318249999997</v>
      </c>
      <c r="D11" s="14">
        <f>-D7*J11</f>
        <v>-4633.00767</v>
      </c>
      <c r="E11" s="14">
        <f>-E7*K11</f>
        <v>-5752.8164749999987</v>
      </c>
      <c r="F11" s="14"/>
      <c r="H11" s="16">
        <v>0.16400000000000001</v>
      </c>
      <c r="I11" s="16">
        <v>0.161</v>
      </c>
      <c r="J11" s="16">
        <v>0.151</v>
      </c>
      <c r="K11" s="16">
        <v>0.155</v>
      </c>
      <c r="L11" s="26">
        <f>K11</f>
        <v>0.155</v>
      </c>
      <c r="N11" s="17"/>
      <c r="O11" s="17"/>
      <c r="P11" s="17"/>
      <c r="Q11" s="17"/>
    </row>
    <row r="12" spans="1:19" ht="18" customHeight="1" x14ac:dyDescent="0.4">
      <c r="A12" s="23" t="s">
        <v>10</v>
      </c>
      <c r="B12" s="14">
        <f>-BS!B11/18</f>
        <v>-839.28112139917698</v>
      </c>
      <c r="C12" s="14">
        <f>-BS!C11/18</f>
        <v>-1007.1373456790124</v>
      </c>
      <c r="D12" s="14">
        <f>-BS!D11/18</f>
        <v>-1208.5648148148148</v>
      </c>
      <c r="E12" s="14">
        <f>-BS!E11/18</f>
        <v>-1450.2777777777778</v>
      </c>
      <c r="F12" s="14"/>
      <c r="H12" s="27">
        <v>4.1000000000000002E-2</v>
      </c>
      <c r="I12" s="27">
        <f>-C12/C$7</f>
        <v>4.0512648245875124E-2</v>
      </c>
      <c r="J12" s="27">
        <f>-D12/D$7</f>
        <v>3.9389808961191944E-2</v>
      </c>
      <c r="K12" s="27">
        <f>-E12/E$7</f>
        <v>3.907530451083191E-2</v>
      </c>
      <c r="L12" s="28">
        <f>-F12/$F$7</f>
        <v>0</v>
      </c>
      <c r="N12" s="17"/>
      <c r="O12" s="17"/>
      <c r="P12" s="17"/>
      <c r="Q12" s="17"/>
    </row>
    <row r="13" spans="1:19" ht="18" customHeight="1" x14ac:dyDescent="0.4">
      <c r="A13" s="29" t="s">
        <v>11</v>
      </c>
      <c r="B13" s="30">
        <f>SUM(B9:B12)</f>
        <v>839.26259860082405</v>
      </c>
      <c r="C13" s="30">
        <f>SUM(C9:C12)</f>
        <v>1315.9263293209879</v>
      </c>
      <c r="D13" s="30">
        <f>SUM(D9:D12)</f>
        <v>2081.7443151851858</v>
      </c>
      <c r="E13" s="30">
        <f>SUM(E9:E12)</f>
        <v>2510.1177172222256</v>
      </c>
      <c r="F13" s="30"/>
      <c r="H13" s="31">
        <f>B13/B$7</f>
        <v>4.3408008914778522E-2</v>
      </c>
      <c r="I13" s="31">
        <f>C13/C$7</f>
        <v>5.2933853288226605E-2</v>
      </c>
      <c r="J13" s="31">
        <f>D13/D$7</f>
        <v>6.7848666348735626E-2</v>
      </c>
      <c r="K13" s="31">
        <f>E13/E$7</f>
        <v>6.7630915719320783E-2</v>
      </c>
      <c r="L13" s="32">
        <f>F13/F$7</f>
        <v>0</v>
      </c>
      <c r="N13" s="17"/>
      <c r="O13" s="17"/>
      <c r="P13" s="17"/>
      <c r="Q13" s="17"/>
    </row>
    <row r="14" spans="1:19" ht="18" customHeight="1" x14ac:dyDescent="0.4">
      <c r="A14" s="23"/>
      <c r="B14" s="14"/>
      <c r="C14" s="14"/>
      <c r="D14" s="14"/>
      <c r="E14" s="14"/>
      <c r="F14" s="14"/>
      <c r="H14" s="33"/>
      <c r="I14" s="33"/>
      <c r="J14" s="33"/>
      <c r="K14" s="33"/>
      <c r="L14" s="26"/>
      <c r="N14" s="17"/>
      <c r="O14" s="17"/>
      <c r="P14" s="17"/>
      <c r="Q14" s="17"/>
    </row>
    <row r="15" spans="1:19" ht="18" customHeight="1" x14ac:dyDescent="0.4">
      <c r="A15" s="23" t="s">
        <v>12</v>
      </c>
      <c r="B15" s="14">
        <f>C15/1.1</f>
        <v>-916.52590909090907</v>
      </c>
      <c r="C15" s="14">
        <f>-I15*(BS!B18+BS!B24)</f>
        <v>-1008.1785000000001</v>
      </c>
      <c r="D15" s="14">
        <f>-J15*(BS!C18+BS!C24)</f>
        <v>-1115.1263351043858</v>
      </c>
      <c r="E15" s="14">
        <f>-K15*(BS!D18+BS!D24)</f>
        <v>-1308.0546462692939</v>
      </c>
      <c r="F15" s="14"/>
      <c r="H15" s="34" t="s">
        <v>13</v>
      </c>
      <c r="I15" s="33">
        <v>8.1000000000000003E-2</v>
      </c>
      <c r="J15" s="33">
        <v>7.4999999999999997E-2</v>
      </c>
      <c r="K15" s="33">
        <v>7.1999999999999995E-2</v>
      </c>
      <c r="L15" s="26">
        <v>7.0000000000000007E-2</v>
      </c>
      <c r="N15" s="17"/>
      <c r="O15" s="17"/>
      <c r="P15" s="17"/>
      <c r="Q15" s="17"/>
    </row>
    <row r="16" spans="1:19" ht="18" customHeight="1" x14ac:dyDescent="0.4">
      <c r="A16" s="29" t="s">
        <v>14</v>
      </c>
      <c r="B16" s="30">
        <f>SUM(B13:B15)</f>
        <v>-77.263310490085019</v>
      </c>
      <c r="C16" s="30">
        <f>SUM(C13:C15)</f>
        <v>307.74782932098776</v>
      </c>
      <c r="D16" s="30">
        <f>SUM(D13:D15)</f>
        <v>966.61798008079995</v>
      </c>
      <c r="E16" s="30">
        <f>SUM(E13:E15)</f>
        <v>1202.0630709529316</v>
      </c>
      <c r="F16" s="30"/>
      <c r="H16" s="31">
        <f>B16/B7</f>
        <v>-3.996182453656667E-3</v>
      </c>
      <c r="I16" s="31">
        <f>C16/C7</f>
        <v>1.2379324042747195E-2</v>
      </c>
      <c r="J16" s="31">
        <f>D16/D7</f>
        <v>3.1504224769004274E-2</v>
      </c>
      <c r="K16" s="31">
        <f>E16/E7</f>
        <v>3.2387575165554787E-2</v>
      </c>
      <c r="L16" s="32">
        <f>F16/F7</f>
        <v>0</v>
      </c>
      <c r="N16" s="17"/>
      <c r="O16" s="17"/>
      <c r="P16" s="17"/>
      <c r="Q16" s="17"/>
    </row>
    <row r="17" spans="1:17" ht="18" customHeight="1" x14ac:dyDescent="0.4">
      <c r="A17" s="23"/>
      <c r="B17" s="14"/>
      <c r="C17" s="14"/>
      <c r="D17" s="14"/>
      <c r="E17" s="14"/>
      <c r="F17" s="14"/>
      <c r="H17" s="33"/>
      <c r="I17" s="33"/>
      <c r="J17" s="33"/>
      <c r="K17" s="33"/>
      <c r="L17" s="26"/>
      <c r="N17" s="17"/>
      <c r="O17" s="17"/>
      <c r="P17" s="17"/>
      <c r="Q17" s="17"/>
    </row>
    <row r="18" spans="1:17" ht="18" customHeight="1" x14ac:dyDescent="0.4">
      <c r="A18" s="19" t="s">
        <v>15</v>
      </c>
      <c r="B18" s="20">
        <f>-B16*H18</f>
        <v>29.360057986232306</v>
      </c>
      <c r="C18" s="20">
        <f>-C16*I18</f>
        <v>-116.94417514197535</v>
      </c>
      <c r="D18" s="20">
        <f>-D16*J18</f>
        <v>-367.31483243070397</v>
      </c>
      <c r="E18" s="20">
        <f>-E16*K18</f>
        <v>-288.4951370287036</v>
      </c>
      <c r="F18" s="20"/>
      <c r="H18" s="16">
        <v>0.38</v>
      </c>
      <c r="I18" s="16">
        <v>0.38</v>
      </c>
      <c r="J18" s="16">
        <v>0.38</v>
      </c>
      <c r="K18" s="16">
        <v>0.24</v>
      </c>
      <c r="L18" s="26">
        <f>K18</f>
        <v>0.24</v>
      </c>
      <c r="N18" s="17"/>
      <c r="O18" s="17"/>
      <c r="P18" s="17"/>
      <c r="Q18" s="17"/>
    </row>
    <row r="19" spans="1:17" ht="18" customHeight="1" thickBot="1" x14ac:dyDescent="0.45">
      <c r="A19" s="35" t="s">
        <v>16</v>
      </c>
      <c r="B19" s="36">
        <f>SUM(B16:B18)</f>
        <v>-47.903252503852713</v>
      </c>
      <c r="C19" s="36">
        <f>SUM(C16:C18)</f>
        <v>190.80365417901243</v>
      </c>
      <c r="D19" s="36">
        <f>SUM(D16:D18)</f>
        <v>599.30314765009598</v>
      </c>
      <c r="E19" s="36">
        <f>SUM(E16:E18)</f>
        <v>913.5679339242281</v>
      </c>
      <c r="F19" s="36"/>
      <c r="H19" s="37">
        <f>B19/B$7</f>
        <v>-2.4776331212671334E-3</v>
      </c>
      <c r="I19" s="37">
        <f>C19/C$7</f>
        <v>7.6751809065032615E-3</v>
      </c>
      <c r="J19" s="37">
        <f>D19/D$7</f>
        <v>1.953261935678265E-2</v>
      </c>
      <c r="K19" s="37">
        <f>E19/E$7</f>
        <v>2.461455712582164E-2</v>
      </c>
      <c r="L19" s="38">
        <f>F19/F$7</f>
        <v>0</v>
      </c>
      <c r="N19" s="17"/>
      <c r="O19" s="17"/>
      <c r="P19" s="17"/>
      <c r="Q19" s="17"/>
    </row>
    <row r="20" spans="1:17" ht="18" customHeight="1" thickTop="1" x14ac:dyDescent="0.4">
      <c r="A20" s="23"/>
      <c r="B20" s="39"/>
      <c r="C20" s="39"/>
      <c r="D20" s="39"/>
      <c r="E20" s="39"/>
      <c r="F20" s="39"/>
      <c r="L20" s="40"/>
    </row>
    <row r="21" spans="1:17" ht="18" customHeight="1" x14ac:dyDescent="0.4">
      <c r="A21" s="3"/>
      <c r="B21" s="4"/>
      <c r="C21" s="4"/>
      <c r="D21" s="4"/>
      <c r="E21" s="4"/>
      <c r="F21" s="4"/>
    </row>
    <row r="22" spans="1:17" ht="18" customHeight="1" x14ac:dyDescent="0.4">
      <c r="A22" s="41" t="s">
        <v>17</v>
      </c>
      <c r="B22" s="8"/>
      <c r="C22" s="8"/>
      <c r="D22" s="8"/>
      <c r="E22" s="8"/>
      <c r="F22" s="8"/>
    </row>
    <row r="23" spans="1:17" ht="18" customHeight="1" x14ac:dyDescent="0.4">
      <c r="A23" s="23"/>
      <c r="B23" s="8"/>
      <c r="C23" s="8"/>
      <c r="D23" s="8"/>
      <c r="E23" s="8"/>
      <c r="F23" s="8"/>
    </row>
    <row r="24" spans="1:17" ht="18" customHeight="1" thickBot="1" x14ac:dyDescent="0.45">
      <c r="A24" s="10" t="s">
        <v>4</v>
      </c>
      <c r="B24" s="11">
        <f>B$6</f>
        <v>2015</v>
      </c>
      <c r="C24" s="11">
        <f>C$6</f>
        <v>2016</v>
      </c>
      <c r="D24" s="11">
        <f>D$6</f>
        <v>2017</v>
      </c>
      <c r="E24" s="11">
        <f>E$6</f>
        <v>2018</v>
      </c>
      <c r="F24" s="12" t="str">
        <f>F$6</f>
        <v>2019E</v>
      </c>
      <c r="H24" s="11">
        <f>B24</f>
        <v>2015</v>
      </c>
      <c r="I24" s="11">
        <f>C24</f>
        <v>2016</v>
      </c>
      <c r="J24" s="11">
        <f>D24</f>
        <v>2017</v>
      </c>
      <c r="K24" s="12">
        <f>E24</f>
        <v>2018</v>
      </c>
      <c r="L24" s="12" t="str">
        <f>F24</f>
        <v>2019E</v>
      </c>
    </row>
    <row r="25" spans="1:17" ht="18" customHeight="1" x14ac:dyDescent="0.4">
      <c r="A25" s="23" t="s">
        <v>18</v>
      </c>
      <c r="B25" s="14">
        <v>3100</v>
      </c>
      <c r="C25" s="14">
        <f>B28</f>
        <v>3001.0967474961471</v>
      </c>
      <c r="D25" s="14">
        <f>C28</f>
        <v>3129.9004016751596</v>
      </c>
      <c r="E25" s="14">
        <f>D28</f>
        <v>3650.2035493252556</v>
      </c>
      <c r="F25" s="14">
        <f>E28</f>
        <v>4477.7714832494839</v>
      </c>
      <c r="H25" s="39">
        <f>B25/B$7</f>
        <v>0.16033697660321461</v>
      </c>
      <c r="I25" s="39">
        <f>C25/C$7</f>
        <v>0.12072075115155266</v>
      </c>
      <c r="J25" s="39">
        <f>D25/D$7</f>
        <v>0.10201039892794934</v>
      </c>
      <c r="K25" s="39">
        <f>E25/E$7</f>
        <v>9.8348618038508653E-2</v>
      </c>
      <c r="L25" s="39">
        <f>F25/F$7</f>
        <v>0.10181807249892866</v>
      </c>
    </row>
    <row r="26" spans="1:17" ht="18" customHeight="1" x14ac:dyDescent="0.4">
      <c r="A26" s="23" t="s">
        <v>19</v>
      </c>
      <c r="B26" s="14">
        <f>B19</f>
        <v>-47.903252503852713</v>
      </c>
      <c r="C26" s="14">
        <f>C19</f>
        <v>190.80365417901243</v>
      </c>
      <c r="D26" s="14">
        <f>D19</f>
        <v>599.30314765009598</v>
      </c>
      <c r="E26" s="14">
        <f>E19</f>
        <v>913.5679339242281</v>
      </c>
      <c r="F26" s="14"/>
      <c r="H26" s="39">
        <f>-B26/B$7</f>
        <v>2.4776331212671334E-3</v>
      </c>
      <c r="I26" s="39">
        <f>-C26/C$7</f>
        <v>-7.6751809065032615E-3</v>
      </c>
      <c r="J26" s="39">
        <f>-D26/D$7</f>
        <v>-1.953261935678265E-2</v>
      </c>
      <c r="K26" s="39">
        <f>-E26/E$7</f>
        <v>-2.461455712582164E-2</v>
      </c>
      <c r="L26" s="39">
        <f>-F26/F$7</f>
        <v>0</v>
      </c>
    </row>
    <row r="27" spans="1:17" ht="18" customHeight="1" x14ac:dyDescent="0.4">
      <c r="A27" s="23" t="s">
        <v>20</v>
      </c>
      <c r="B27" s="14">
        <v>-51</v>
      </c>
      <c r="C27" s="14">
        <v>-62</v>
      </c>
      <c r="D27" s="14">
        <v>-79</v>
      </c>
      <c r="E27" s="14">
        <v>-86</v>
      </c>
      <c r="F27" s="14"/>
      <c r="H27" s="16">
        <v>0.3</v>
      </c>
      <c r="I27" s="16">
        <v>0.3</v>
      </c>
      <c r="J27" s="16">
        <v>0.3</v>
      </c>
      <c r="K27" s="16">
        <v>0.3</v>
      </c>
      <c r="L27" s="42">
        <f>K27</f>
        <v>0.3</v>
      </c>
      <c r="N27" s="18"/>
      <c r="O27" s="18"/>
      <c r="P27" s="18"/>
      <c r="Q27" s="18"/>
    </row>
    <row r="28" spans="1:17" ht="18" customHeight="1" thickBot="1" x14ac:dyDescent="0.45">
      <c r="A28" s="35" t="s">
        <v>21</v>
      </c>
      <c r="B28" s="36">
        <f>SUM(B25:B27)</f>
        <v>3001.0967474961471</v>
      </c>
      <c r="C28" s="36">
        <f>SUM(C25:C27)</f>
        <v>3129.9004016751596</v>
      </c>
      <c r="D28" s="36">
        <f>SUM(D25:D27)</f>
        <v>3650.2035493252556</v>
      </c>
      <c r="E28" s="36">
        <f>SUM(E25:E27)</f>
        <v>4477.7714832494839</v>
      </c>
      <c r="F28" s="36"/>
      <c r="H28" s="43">
        <f>B28/B$7</f>
        <v>0.15522154160879781</v>
      </c>
      <c r="I28" s="43">
        <f>C28/C$7</f>
        <v>0.12590194829107446</v>
      </c>
      <c r="J28" s="43">
        <f>D28/D$7</f>
        <v>0.11896823299412185</v>
      </c>
      <c r="K28" s="43">
        <f>E28/E$7</f>
        <v>0.12064604927339875</v>
      </c>
      <c r="L28" s="43">
        <f>F28/F$7</f>
        <v>0</v>
      </c>
    </row>
    <row r="29" spans="1:17" ht="18" customHeight="1" thickTop="1" x14ac:dyDescent="0.4">
      <c r="A29" s="23"/>
      <c r="B29" s="8"/>
      <c r="C29" s="8"/>
      <c r="D29" s="8"/>
      <c r="E29" s="8"/>
      <c r="F29" s="8"/>
    </row>
    <row r="30" spans="1:17" ht="18" customHeight="1" x14ac:dyDescent="0.4">
      <c r="A30" s="3"/>
      <c r="B30" s="14"/>
      <c r="C30" s="14"/>
      <c r="D30" s="14"/>
      <c r="E30" s="14"/>
      <c r="F30" s="4"/>
    </row>
    <row r="31" spans="1:17" ht="18" customHeight="1" x14ac:dyDescent="0.4">
      <c r="A31" s="3"/>
      <c r="B31" s="4"/>
      <c r="C31" s="4"/>
      <c r="D31" s="4"/>
      <c r="E31" s="4"/>
      <c r="F31" s="4"/>
    </row>
    <row r="36" spans="14:17" ht="18" customHeight="1" x14ac:dyDescent="0.4">
      <c r="N36" s="18"/>
      <c r="O36" s="18"/>
      <c r="P36" s="18"/>
      <c r="Q36" s="18"/>
    </row>
    <row r="37" spans="14:17" ht="18" customHeight="1" x14ac:dyDescent="0.4">
      <c r="N37" s="18"/>
      <c r="O37" s="18"/>
      <c r="P37" s="18"/>
      <c r="Q37" s="18"/>
    </row>
    <row r="38" spans="14:17" ht="18" customHeight="1" x14ac:dyDescent="0.4">
      <c r="N38" s="18"/>
      <c r="O38" s="18"/>
      <c r="P38" s="18"/>
      <c r="Q38" s="18"/>
    </row>
    <row r="39" spans="14:17" ht="18" customHeight="1" x14ac:dyDescent="0.4">
      <c r="N39" s="18"/>
      <c r="O39" s="18"/>
      <c r="P39" s="18"/>
      <c r="Q39" s="18"/>
    </row>
    <row r="40" spans="14:17" ht="18" customHeight="1" x14ac:dyDescent="0.4">
      <c r="N40" s="18"/>
      <c r="O40" s="18"/>
      <c r="P40" s="18"/>
      <c r="Q40" s="18"/>
    </row>
    <row r="41" spans="14:17" ht="18" customHeight="1" x14ac:dyDescent="0.4">
      <c r="N41" s="18"/>
      <c r="O41" s="18"/>
      <c r="P41" s="18"/>
      <c r="Q41" s="18"/>
    </row>
    <row r="42" spans="14:17" ht="18" customHeight="1" x14ac:dyDescent="0.4">
      <c r="N42" s="18"/>
      <c r="O42" s="18"/>
      <c r="P42" s="18"/>
      <c r="Q42" s="18"/>
    </row>
    <row r="43" spans="14:17" ht="18" customHeight="1" x14ac:dyDescent="0.4">
      <c r="N43" s="18"/>
      <c r="O43" s="18"/>
      <c r="P43" s="18"/>
      <c r="Q43" s="18"/>
    </row>
    <row r="44" spans="14:17" ht="18" customHeight="1" x14ac:dyDescent="0.4">
      <c r="N44" s="18"/>
      <c r="O44" s="18"/>
      <c r="P44" s="18"/>
      <c r="Q44" s="18"/>
    </row>
    <row r="45" spans="14:17" ht="18" customHeight="1" x14ac:dyDescent="0.4">
      <c r="N45" s="18"/>
      <c r="O45" s="18"/>
      <c r="P45" s="18"/>
      <c r="Q45" s="18"/>
    </row>
    <row r="46" spans="14:17" ht="18" customHeight="1" x14ac:dyDescent="0.4">
      <c r="N46" s="18"/>
      <c r="O46" s="18"/>
      <c r="P46" s="18"/>
      <c r="Q46" s="18"/>
    </row>
    <row r="47" spans="14:17" ht="18" customHeight="1" x14ac:dyDescent="0.4">
      <c r="N47" s="18"/>
      <c r="O47" s="18"/>
      <c r="P47" s="18"/>
      <c r="Q47" s="18"/>
    </row>
    <row r="48" spans="14:17" ht="18" customHeight="1" x14ac:dyDescent="0.4">
      <c r="N48" s="18"/>
      <c r="O48" s="18"/>
      <c r="P48" s="18"/>
      <c r="Q48" s="18"/>
    </row>
    <row r="49" spans="14:17" ht="18" customHeight="1" x14ac:dyDescent="0.4">
      <c r="N49" s="18"/>
      <c r="O49" s="18"/>
      <c r="P49" s="18"/>
      <c r="Q49" s="18"/>
    </row>
    <row r="50" spans="14:17" ht="18" customHeight="1" x14ac:dyDescent="0.4">
      <c r="N50" s="18"/>
      <c r="O50" s="18"/>
      <c r="P50" s="18"/>
      <c r="Q50" s="18"/>
    </row>
    <row r="51" spans="14:17" ht="18" customHeight="1" x14ac:dyDescent="0.4">
      <c r="N51" s="18"/>
      <c r="O51" s="18"/>
      <c r="P51" s="18"/>
      <c r="Q51" s="18"/>
    </row>
    <row r="52" spans="14:17" ht="18" customHeight="1" x14ac:dyDescent="0.4">
      <c r="N52" s="18"/>
      <c r="O52" s="18"/>
      <c r="P52" s="18"/>
      <c r="Q52" s="18"/>
    </row>
    <row r="53" spans="14:17" ht="18" customHeight="1" x14ac:dyDescent="0.4">
      <c r="N53" s="18"/>
      <c r="O53" s="18"/>
      <c r="P53" s="18"/>
      <c r="Q53" s="18"/>
    </row>
    <row r="54" spans="14:17" ht="18" customHeight="1" x14ac:dyDescent="0.4">
      <c r="N54" s="18"/>
      <c r="O54" s="18"/>
      <c r="P54" s="18"/>
      <c r="Q54" s="18"/>
    </row>
    <row r="55" spans="14:17" ht="18" customHeight="1" x14ac:dyDescent="0.4">
      <c r="N55" s="18"/>
      <c r="O55" s="18"/>
      <c r="P55" s="18"/>
      <c r="Q55" s="18"/>
    </row>
    <row r="56" spans="14:17" ht="18" customHeight="1" x14ac:dyDescent="0.4">
      <c r="N56" s="18"/>
      <c r="O56" s="18"/>
      <c r="P56" s="18"/>
      <c r="Q56" s="18"/>
    </row>
    <row r="57" spans="14:17" ht="18" customHeight="1" x14ac:dyDescent="0.4">
      <c r="N57" s="18"/>
      <c r="O57" s="18"/>
      <c r="P57" s="18"/>
      <c r="Q57" s="18"/>
    </row>
    <row r="58" spans="14:17" ht="18" customHeight="1" x14ac:dyDescent="0.4">
      <c r="N58" s="18"/>
      <c r="O58" s="18"/>
      <c r="P58" s="18"/>
      <c r="Q58" s="18"/>
    </row>
    <row r="59" spans="14:17" ht="18" customHeight="1" x14ac:dyDescent="0.4">
      <c r="N59" s="18"/>
      <c r="O59" s="18"/>
      <c r="P59" s="18"/>
      <c r="Q59" s="18"/>
    </row>
    <row r="60" spans="14:17" ht="18" customHeight="1" x14ac:dyDescent="0.4">
      <c r="N60" s="18"/>
      <c r="O60" s="18"/>
      <c r="P60" s="18"/>
      <c r="Q60" s="18"/>
    </row>
    <row r="61" spans="14:17" ht="18" customHeight="1" x14ac:dyDescent="0.4">
      <c r="N61" s="18"/>
      <c r="O61" s="18"/>
      <c r="P61" s="18"/>
      <c r="Q61" s="18"/>
    </row>
    <row r="62" spans="14:17" ht="18" customHeight="1" x14ac:dyDescent="0.4">
      <c r="N62" s="18"/>
      <c r="O62" s="18"/>
      <c r="P62" s="18"/>
      <c r="Q62" s="18"/>
    </row>
  </sheetData>
  <pageMargins left="0.7" right="0.7" top="0.75" bottom="0.75" header="0.3" footer="0.3"/>
  <pageSetup scale="95" orientation="landscape" horizontalDpi="1200" verticalDpi="1200" r:id="rId1"/>
  <rowBreaks count="1" manualBreakCount="1">
    <brk id="3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48B84-83AA-44F2-97BB-C9D074B4DB0D}">
  <dimension ref="A2:L32"/>
  <sheetViews>
    <sheetView showGridLines="0" zoomScale="85" zoomScaleNormal="85" workbookViewId="0">
      <selection activeCell="B3" sqref="B3"/>
    </sheetView>
  </sheetViews>
  <sheetFormatPr defaultRowHeight="18" customHeight="1" x14ac:dyDescent="0.4"/>
  <cols>
    <col min="1" max="1" width="32.53515625" customWidth="1"/>
  </cols>
  <sheetData>
    <row r="2" spans="1:12" ht="18" customHeight="1" x14ac:dyDescent="0.4">
      <c r="A2" s="6" t="str">
        <f>name</f>
        <v>QuickDash</v>
      </c>
      <c r="B2" s="4"/>
      <c r="C2" s="4"/>
      <c r="D2" s="4"/>
      <c r="E2" s="4"/>
      <c r="F2" s="4"/>
      <c r="G2" s="5"/>
      <c r="H2" s="1" t="str">
        <f>name</f>
        <v>QuickDash</v>
      </c>
      <c r="I2" s="5"/>
      <c r="J2" s="5"/>
      <c r="K2" s="5"/>
      <c r="L2" s="5"/>
    </row>
    <row r="3" spans="1:12" ht="18" customHeight="1" x14ac:dyDescent="0.4">
      <c r="A3" s="23" t="s">
        <v>22</v>
      </c>
      <c r="B3" s="44"/>
      <c r="C3" s="44"/>
      <c r="D3" s="44"/>
      <c r="E3" s="44"/>
      <c r="F3" s="44"/>
      <c r="G3" s="5"/>
      <c r="H3" s="5" t="s">
        <v>23</v>
      </c>
      <c r="I3" s="5"/>
      <c r="J3" s="5"/>
      <c r="K3" s="5"/>
      <c r="L3" s="5"/>
    </row>
    <row r="4" spans="1:12" ht="18" customHeight="1" x14ac:dyDescent="0.4">
      <c r="A4" s="3"/>
      <c r="B4" s="45"/>
      <c r="C4" s="45"/>
      <c r="D4" s="45"/>
      <c r="E4" s="45"/>
      <c r="F4" s="45"/>
      <c r="G4" s="5"/>
      <c r="H4" s="5"/>
      <c r="I4" s="5"/>
      <c r="J4" s="5"/>
      <c r="K4" s="5"/>
      <c r="L4" s="5"/>
    </row>
    <row r="5" spans="1:12" ht="18" customHeight="1" thickBot="1" x14ac:dyDescent="0.45">
      <c r="A5" s="10" t="s">
        <v>4</v>
      </c>
      <c r="B5" s="11">
        <f>IS!B$6</f>
        <v>2015</v>
      </c>
      <c r="C5" s="11">
        <f>IS!C$6</f>
        <v>2016</v>
      </c>
      <c r="D5" s="11">
        <f>IS!D$6</f>
        <v>2017</v>
      </c>
      <c r="E5" s="11">
        <f>IS!E$6</f>
        <v>2018</v>
      </c>
      <c r="F5" s="12" t="str">
        <f>IS!F$6</f>
        <v>2019E</v>
      </c>
      <c r="G5" s="5"/>
      <c r="H5" s="11">
        <f>IS!H$6</f>
        <v>2015</v>
      </c>
      <c r="I5" s="11">
        <f>IS!I$6</f>
        <v>2016</v>
      </c>
      <c r="J5" s="11">
        <f>IS!J$6</f>
        <v>2017</v>
      </c>
      <c r="K5" s="12">
        <f>IS!K$6</f>
        <v>2018</v>
      </c>
      <c r="L5" s="12" t="str">
        <f>IS!L$6</f>
        <v>2019E</v>
      </c>
    </row>
    <row r="6" spans="1:12" ht="18" customHeight="1" x14ac:dyDescent="0.4">
      <c r="A6" s="46" t="s">
        <v>24</v>
      </c>
      <c r="B6" s="14">
        <v>2193</v>
      </c>
      <c r="C6" s="14">
        <v>2010</v>
      </c>
      <c r="D6" s="14">
        <f>C6*0.8</f>
        <v>1608</v>
      </c>
      <c r="E6" s="14">
        <f>D6*0.8</f>
        <v>1286.4000000000001</v>
      </c>
      <c r="F6" s="47"/>
      <c r="G6" s="5"/>
      <c r="H6" s="48">
        <f>365*B6/IS!B$7</f>
        <v>41.40030039908391</v>
      </c>
      <c r="I6" s="48">
        <f>365*C6/IS!C$7</f>
        <v>29.511470816870194</v>
      </c>
      <c r="J6" s="48">
        <f>365*D6/IS!D$7</f>
        <v>19.129025098289983</v>
      </c>
      <c r="K6" s="48">
        <f>365*E6/IS!E$7</f>
        <v>12.650860724702682</v>
      </c>
      <c r="L6" s="49">
        <f>K6</f>
        <v>12.650860724702682</v>
      </c>
    </row>
    <row r="7" spans="1:12" ht="18" customHeight="1" x14ac:dyDescent="0.4">
      <c r="A7" s="3" t="s">
        <v>25</v>
      </c>
      <c r="B7" s="14">
        <v>565</v>
      </c>
      <c r="C7" s="14">
        <v>623</v>
      </c>
      <c r="D7" s="14">
        <v>908</v>
      </c>
      <c r="E7" s="14">
        <v>1007</v>
      </c>
      <c r="F7" s="47"/>
      <c r="G7" s="5"/>
      <c r="H7" s="48">
        <f>365*B7/IS!B$7</f>
        <v>10.666288064515463</v>
      </c>
      <c r="I7" s="48">
        <f>365*C7/IS!C$7</f>
        <v>9.147087720850811</v>
      </c>
      <c r="J7" s="48">
        <f>365*D7/IS!D$7</f>
        <v>10.801713177392601</v>
      </c>
      <c r="K7" s="48">
        <f>365*E7/IS!E$7</f>
        <v>9.9031535679225726</v>
      </c>
      <c r="L7" s="49">
        <f>K7</f>
        <v>9.9031535679225726</v>
      </c>
    </row>
    <row r="8" spans="1:12" ht="18" customHeight="1" x14ac:dyDescent="0.4">
      <c r="A8" s="3" t="s">
        <v>26</v>
      </c>
      <c r="B8" s="14">
        <f>'Margin &amp; Inventory'!L24</f>
        <v>1984.3530136986301</v>
      </c>
      <c r="C8" s="14">
        <f>'Margin &amp; Inventory'!M24</f>
        <v>2548.9148972602743</v>
      </c>
      <c r="D8" s="14">
        <f>'Margin &amp; Inventory'!N24</f>
        <v>3143.182602739726</v>
      </c>
      <c r="E8" s="14">
        <f>'Margin &amp; Inventory'!O24</f>
        <v>3801.3605479452053</v>
      </c>
      <c r="F8" s="14">
        <f>'Margin &amp; Inventory'!P24</f>
        <v>4502.4865753424647</v>
      </c>
      <c r="G8" s="5"/>
      <c r="H8" s="48">
        <f>365*B8/IS!B$7</f>
        <v>37.461382063361036</v>
      </c>
      <c r="I8" s="48">
        <f>365*C8/IS!C$7</f>
        <v>37.423993833424021</v>
      </c>
      <c r="J8" s="48">
        <f>365*D8/IS!D$7</f>
        <v>37.391802796216822</v>
      </c>
      <c r="K8" s="48">
        <f>365*E8/IS!E$7</f>
        <v>37.383770877203247</v>
      </c>
      <c r="L8" s="49">
        <f>K8</f>
        <v>37.383770877203247</v>
      </c>
    </row>
    <row r="9" spans="1:12" ht="18" customHeight="1" x14ac:dyDescent="0.4">
      <c r="A9" s="50" t="s">
        <v>27</v>
      </c>
      <c r="B9" s="30">
        <f>SUM(B6:B8)</f>
        <v>4742.3530136986301</v>
      </c>
      <c r="C9" s="30">
        <f>SUM(C6:C8)</f>
        <v>5181.9148972602743</v>
      </c>
      <c r="D9" s="30">
        <f>SUM(D6:D8)</f>
        <v>5659.1826027397256</v>
      </c>
      <c r="E9" s="30">
        <f>SUM(E6:E8)</f>
        <v>6094.760547945205</v>
      </c>
      <c r="F9" s="51"/>
      <c r="G9" s="5"/>
      <c r="H9" s="52">
        <f>365*B9/IS!B$7</f>
        <v>89.527970526960416</v>
      </c>
      <c r="I9" s="52">
        <f>365*C9/IS!C$7</f>
        <v>76.082552371145027</v>
      </c>
      <c r="J9" s="52">
        <f>365*D9/IS!D$7</f>
        <v>67.322541071899408</v>
      </c>
      <c r="K9" s="52">
        <f>365*E9/IS!E$7</f>
        <v>59.937785169828487</v>
      </c>
      <c r="L9" s="52">
        <f>365*F9/IS!F$7</f>
        <v>0</v>
      </c>
    </row>
    <row r="10" spans="1:12" ht="18" customHeight="1" x14ac:dyDescent="0.4">
      <c r="A10" s="3"/>
      <c r="B10" s="14"/>
      <c r="C10" s="14"/>
      <c r="D10" s="14"/>
      <c r="E10" s="14"/>
      <c r="F10" s="47"/>
      <c r="G10" s="5"/>
      <c r="H10" s="48"/>
      <c r="I10" s="48"/>
      <c r="J10" s="48"/>
      <c r="K10" s="48"/>
      <c r="L10" s="49"/>
    </row>
    <row r="11" spans="1:12" ht="18" customHeight="1" x14ac:dyDescent="0.4">
      <c r="A11" s="3" t="s">
        <v>28</v>
      </c>
      <c r="B11" s="14">
        <f>C11/1.2</f>
        <v>15107.060185185186</v>
      </c>
      <c r="C11" s="14">
        <f>D11/1.2</f>
        <v>18128.472222222223</v>
      </c>
      <c r="D11" s="14">
        <f>E11/1.2</f>
        <v>21754.166666666668</v>
      </c>
      <c r="E11" s="14">
        <v>26105</v>
      </c>
      <c r="F11" s="47"/>
      <c r="G11" s="5"/>
      <c r="H11" s="48">
        <f>365*B11/IS!B7</f>
        <v>285.19691281974781</v>
      </c>
      <c r="I11" s="48">
        <f>365*C11/IS!C7</f>
        <v>266.16809897539952</v>
      </c>
      <c r="J11" s="48">
        <f>365*D11/IS!D7</f>
        <v>258.7910448750311</v>
      </c>
      <c r="K11" s="48">
        <f>365*E11/IS!E7</f>
        <v>256.7247506361656</v>
      </c>
      <c r="L11" s="49">
        <f>K11</f>
        <v>256.7247506361656</v>
      </c>
    </row>
    <row r="12" spans="1:12" ht="18" customHeight="1" thickBot="1" x14ac:dyDescent="0.45">
      <c r="A12" s="53" t="s">
        <v>29</v>
      </c>
      <c r="B12" s="54">
        <f>SUM(B9:B11)</f>
        <v>19849.413198883816</v>
      </c>
      <c r="C12" s="54">
        <f>SUM(C9:C11)</f>
        <v>23310.387119482497</v>
      </c>
      <c r="D12" s="54">
        <f>SUM(D9:D11)</f>
        <v>27413.349269406393</v>
      </c>
      <c r="E12" s="54">
        <f>SUM(E9:E11)</f>
        <v>32199.760547945203</v>
      </c>
      <c r="F12" s="55"/>
      <c r="G12" s="5"/>
      <c r="H12" s="56">
        <f>365*B12/IS!B$7</f>
        <v>374.72488334670817</v>
      </c>
      <c r="I12" s="56">
        <f>365*C12/IS!C$7</f>
        <v>342.2506513465446</v>
      </c>
      <c r="J12" s="56">
        <f>365*D12/IS!D$7</f>
        <v>326.11358594693053</v>
      </c>
      <c r="K12" s="56">
        <f>365*E12/IS!E$7</f>
        <v>316.66253580599408</v>
      </c>
      <c r="L12" s="56">
        <f>365*F12/IS!F$7</f>
        <v>0</v>
      </c>
    </row>
    <row r="13" spans="1:12" ht="18" customHeight="1" thickTop="1" x14ac:dyDescent="0.4">
      <c r="A13" s="3"/>
      <c r="B13" s="8"/>
      <c r="C13" s="8"/>
      <c r="D13" s="8"/>
      <c r="E13" s="8"/>
      <c r="F13" s="8"/>
      <c r="G13" s="5"/>
      <c r="H13" s="48"/>
      <c r="I13" s="48"/>
      <c r="J13" s="48"/>
      <c r="K13" s="48"/>
      <c r="L13" s="49"/>
    </row>
    <row r="14" spans="1:12" ht="18" customHeight="1" x14ac:dyDescent="0.4">
      <c r="A14" s="3"/>
      <c r="B14" s="8"/>
      <c r="C14" s="8"/>
      <c r="D14" s="8"/>
      <c r="E14" s="8"/>
      <c r="F14" s="8"/>
      <c r="G14" s="5"/>
      <c r="H14" s="48"/>
      <c r="I14" s="48"/>
      <c r="J14" s="48"/>
      <c r="K14" s="48"/>
      <c r="L14" s="49"/>
    </row>
    <row r="15" spans="1:12" ht="18" customHeight="1" x14ac:dyDescent="0.4">
      <c r="A15" s="6" t="s">
        <v>30</v>
      </c>
      <c r="B15" s="8"/>
      <c r="C15" s="8"/>
      <c r="D15" s="8"/>
      <c r="E15" s="8"/>
      <c r="F15" s="8"/>
      <c r="G15" s="5"/>
      <c r="H15" s="57"/>
      <c r="I15" s="48"/>
      <c r="J15" s="48"/>
      <c r="K15" s="48"/>
      <c r="L15" s="49"/>
    </row>
    <row r="16" spans="1:12" ht="18" customHeight="1" x14ac:dyDescent="0.4">
      <c r="A16" s="3"/>
      <c r="B16" s="8"/>
      <c r="C16" s="8"/>
      <c r="D16" s="8"/>
      <c r="E16" s="8"/>
      <c r="F16" s="8"/>
      <c r="G16" s="5"/>
      <c r="H16" s="48"/>
      <c r="I16" s="48"/>
      <c r="J16" s="48"/>
      <c r="K16" s="48"/>
      <c r="L16" s="49"/>
    </row>
    <row r="17" spans="1:12" ht="18" customHeight="1" thickBot="1" x14ac:dyDescent="0.45">
      <c r="A17" s="10" t="s">
        <v>4</v>
      </c>
      <c r="B17" s="11">
        <f>IS!B$6</f>
        <v>2015</v>
      </c>
      <c r="C17" s="11">
        <f>IS!C$6</f>
        <v>2016</v>
      </c>
      <c r="D17" s="11">
        <f>IS!D$6</f>
        <v>2017</v>
      </c>
      <c r="E17" s="11">
        <f>IS!E$6</f>
        <v>2018</v>
      </c>
      <c r="F17" s="12" t="str">
        <f>IS!F$6</f>
        <v>2019E</v>
      </c>
      <c r="G17" s="5"/>
      <c r="H17" s="11">
        <f>IS!H$6</f>
        <v>2015</v>
      </c>
      <c r="I17" s="11">
        <f>IS!I$6</f>
        <v>2016</v>
      </c>
      <c r="J17" s="11">
        <f>IS!J$6</f>
        <v>2017</v>
      </c>
      <c r="K17" s="12">
        <f>IS!K$6</f>
        <v>2018</v>
      </c>
      <c r="L17" s="12" t="str">
        <f>IS!L$6</f>
        <v>2019E</v>
      </c>
    </row>
    <row r="18" spans="1:12" ht="18" customHeight="1" x14ac:dyDescent="0.4">
      <c r="A18" s="3" t="s">
        <v>31</v>
      </c>
      <c r="B18" s="58">
        <v>361</v>
      </c>
      <c r="C18" s="59">
        <f>C12-SUM(C19:C21)-C24-SUM(C27:C28)</f>
        <v>365.57335694736594</v>
      </c>
      <c r="D18" s="59">
        <f>D12-SUM(D19:D21)-D24-SUM(D27:D28)</f>
        <v>764.09230929574915</v>
      </c>
      <c r="E18" s="59">
        <f>E12-SUM(E19:E21)-E24-SUM(E27:E28)</f>
        <v>908.96703838064968</v>
      </c>
      <c r="F18" s="60"/>
      <c r="G18" s="5"/>
      <c r="H18" s="48">
        <f>365*B18/IS!B$7</f>
        <v>6.8150973297169593</v>
      </c>
      <c r="I18" s="48">
        <f>365*C18/IS!C$7</f>
        <v>5.3674663955111752</v>
      </c>
      <c r="J18" s="48">
        <f>365*D18/IS!D$7</f>
        <v>9.0897642798064293</v>
      </c>
      <c r="K18" s="48">
        <f>365*E18/IS!E$7</f>
        <v>8.939066702346917</v>
      </c>
      <c r="L18" s="48">
        <f>365*F18/IS!F$7</f>
        <v>0</v>
      </c>
    </row>
    <row r="19" spans="1:12" ht="18" customHeight="1" x14ac:dyDescent="0.4">
      <c r="A19" s="3" t="s">
        <v>32</v>
      </c>
      <c r="B19" s="14">
        <f>-H19/365*IS!B8</f>
        <v>833.37863441095885</v>
      </c>
      <c r="C19" s="14">
        <f>-I19/365*IS!C8</f>
        <v>1066.3586835616436</v>
      </c>
      <c r="D19" s="14">
        <f>-J19/365*IS!D8</f>
        <v>1309.413471780822</v>
      </c>
      <c r="E19" s="14">
        <f>-K19/365*IS!E8</f>
        <v>1576.5380647397253</v>
      </c>
      <c r="F19" s="47"/>
      <c r="G19" s="5"/>
      <c r="H19" s="48">
        <v>21</v>
      </c>
      <c r="I19" s="48">
        <v>21</v>
      </c>
      <c r="J19" s="48">
        <v>21</v>
      </c>
      <c r="K19" s="48">
        <v>21</v>
      </c>
      <c r="L19" s="49">
        <f>K19</f>
        <v>21</v>
      </c>
    </row>
    <row r="20" spans="1:12" ht="18" customHeight="1" x14ac:dyDescent="0.4">
      <c r="A20" s="3" t="s">
        <v>33</v>
      </c>
      <c r="B20" s="14">
        <f>-H20/365*IS!B11</f>
        <v>182.43085019178082</v>
      </c>
      <c r="C20" s="14">
        <f>-I20/365*IS!C11</f>
        <v>230.27689952054791</v>
      </c>
      <c r="D20" s="14">
        <f>-J20/365*IS!D11</f>
        <v>266.55660567123289</v>
      </c>
      <c r="E20" s="14">
        <f>-K20/365*IS!E11</f>
        <v>330.98396157534239</v>
      </c>
      <c r="F20" s="47"/>
      <c r="G20" s="5"/>
      <c r="H20" s="48">
        <v>21</v>
      </c>
      <c r="I20" s="48">
        <v>21</v>
      </c>
      <c r="J20" s="48">
        <v>21</v>
      </c>
      <c r="K20" s="48">
        <v>21</v>
      </c>
      <c r="L20" s="49">
        <f>K20</f>
        <v>21</v>
      </c>
    </row>
    <row r="21" spans="1:12" ht="18" customHeight="1" x14ac:dyDescent="0.4">
      <c r="A21" s="3" t="s">
        <v>34</v>
      </c>
      <c r="B21" s="14">
        <f>-IS!B27/4</f>
        <v>12.75</v>
      </c>
      <c r="C21" s="14">
        <f>-IS!C27/4</f>
        <v>15.5</v>
      </c>
      <c r="D21" s="14">
        <f>-IS!D27/4</f>
        <v>19.75</v>
      </c>
      <c r="E21" s="14">
        <f>-IS!E27/4</f>
        <v>21.5</v>
      </c>
      <c r="F21" s="47"/>
      <c r="G21" s="5"/>
      <c r="H21" s="48">
        <f>-365*B21/IS!B27</f>
        <v>91.25</v>
      </c>
      <c r="I21" s="48">
        <f>-365*C21/IS!C27</f>
        <v>91.25</v>
      </c>
      <c r="J21" s="48">
        <f>-365*D21/IS!D27</f>
        <v>91.25</v>
      </c>
      <c r="K21" s="48">
        <f>-365*E21/IS!E27</f>
        <v>91.25</v>
      </c>
      <c r="L21" s="49">
        <f>K21</f>
        <v>91.25</v>
      </c>
    </row>
    <row r="22" spans="1:12" ht="18" customHeight="1" x14ac:dyDescent="0.4">
      <c r="A22" s="50" t="s">
        <v>35</v>
      </c>
      <c r="B22" s="30">
        <f>SUM(B18:B21)</f>
        <v>1389.5594846027398</v>
      </c>
      <c r="C22" s="30">
        <f>SUM(C18:C21)</f>
        <v>1677.7089400295574</v>
      </c>
      <c r="D22" s="30">
        <f>SUM(D18:D21)</f>
        <v>2359.8123867478039</v>
      </c>
      <c r="E22" s="30">
        <f>SUM(E18:E21)</f>
        <v>2837.9890646957174</v>
      </c>
      <c r="F22" s="51"/>
      <c r="G22" s="5"/>
      <c r="H22" s="52">
        <f>365*B22/IS!B$7</f>
        <v>26.232640257614975</v>
      </c>
      <c r="I22" s="52">
        <f>365*C22/IS!C$7</f>
        <v>24.632665882032093</v>
      </c>
      <c r="J22" s="52">
        <f>365*D22/IS!D$7</f>
        <v>28.072705456066124</v>
      </c>
      <c r="K22" s="52">
        <f>365*E22/IS!E$7</f>
        <v>27.909673815061211</v>
      </c>
      <c r="L22" s="61">
        <f>K22</f>
        <v>27.909673815061211</v>
      </c>
    </row>
    <row r="23" spans="1:12" ht="18" customHeight="1" x14ac:dyDescent="0.4">
      <c r="A23" s="3"/>
      <c r="B23" s="14"/>
      <c r="C23" s="14"/>
      <c r="D23" s="14"/>
      <c r="E23" s="14"/>
      <c r="F23" s="47"/>
      <c r="G23" s="5"/>
      <c r="H23" s="48"/>
      <c r="I23" s="48"/>
      <c r="J23" s="48"/>
      <c r="K23" s="48"/>
      <c r="L23" s="49"/>
    </row>
    <row r="24" spans="1:12" ht="18" customHeight="1" x14ac:dyDescent="0.4">
      <c r="A24" s="62" t="s">
        <v>36</v>
      </c>
      <c r="B24" s="20">
        <f>B11*H24</f>
        <v>12085.64814814815</v>
      </c>
      <c r="C24" s="20">
        <f>C11*I24</f>
        <v>14502.777777777779</v>
      </c>
      <c r="D24" s="20">
        <f>D11*J24</f>
        <v>17403.333333333336</v>
      </c>
      <c r="E24" s="20">
        <f>E11*K24</f>
        <v>20884</v>
      </c>
      <c r="F24" s="63"/>
      <c r="G24" s="5"/>
      <c r="H24" s="64">
        <v>0.8</v>
      </c>
      <c r="I24" s="64">
        <v>0.8</v>
      </c>
      <c r="J24" s="64">
        <v>0.8</v>
      </c>
      <c r="K24" s="64">
        <v>0.8</v>
      </c>
      <c r="L24" s="64">
        <v>0.8</v>
      </c>
    </row>
    <row r="25" spans="1:12" ht="18" customHeight="1" x14ac:dyDescent="0.4">
      <c r="A25" s="3" t="s">
        <v>37</v>
      </c>
      <c r="B25" s="14">
        <f>SUM(B22:B24)</f>
        <v>13475.207632750889</v>
      </c>
      <c r="C25" s="14">
        <f>SUM(C22:C24)</f>
        <v>16180.486717807336</v>
      </c>
      <c r="D25" s="14">
        <f>SUM(D22:D24)</f>
        <v>19763.145720081138</v>
      </c>
      <c r="E25" s="14">
        <f>SUM(E22:E24)</f>
        <v>23721.989064695717</v>
      </c>
      <c r="F25" s="47"/>
      <c r="G25" s="5"/>
      <c r="H25" t="s">
        <v>38</v>
      </c>
      <c r="I25" s="48"/>
      <c r="J25" s="48"/>
      <c r="K25" s="48"/>
      <c r="L25" s="49"/>
    </row>
    <row r="26" spans="1:12" ht="18" customHeight="1" x14ac:dyDescent="0.4">
      <c r="A26" s="3"/>
      <c r="B26" s="14"/>
      <c r="C26" s="14"/>
      <c r="D26" s="14"/>
      <c r="E26" s="14"/>
      <c r="F26" s="47"/>
      <c r="G26" s="5"/>
      <c r="I26" s="5"/>
      <c r="J26" s="5"/>
      <c r="K26" s="5"/>
      <c r="L26" s="5"/>
    </row>
    <row r="27" spans="1:12" ht="18" customHeight="1" x14ac:dyDescent="0.4">
      <c r="A27" s="3" t="s">
        <v>39</v>
      </c>
      <c r="B27" s="14">
        <v>4000</v>
      </c>
      <c r="C27" s="14">
        <v>4000</v>
      </c>
      <c r="D27" s="14">
        <v>4000</v>
      </c>
      <c r="E27" s="14">
        <v>4000</v>
      </c>
      <c r="F27" s="47"/>
      <c r="G27" s="5"/>
      <c r="H27" s="5"/>
      <c r="I27" s="5"/>
      <c r="J27" s="5"/>
      <c r="K27" s="5"/>
      <c r="L27" s="5"/>
    </row>
    <row r="28" spans="1:12" ht="18" customHeight="1" x14ac:dyDescent="0.4">
      <c r="A28" s="3" t="s">
        <v>40</v>
      </c>
      <c r="B28" s="14">
        <f>IS!B28</f>
        <v>3001.0967474961471</v>
      </c>
      <c r="C28" s="14">
        <f>IS!C28</f>
        <v>3129.9004016751596</v>
      </c>
      <c r="D28" s="14">
        <f>IS!D28</f>
        <v>3650.2035493252556</v>
      </c>
      <c r="E28" s="14">
        <f>IS!E28</f>
        <v>4477.7714832494839</v>
      </c>
      <c r="F28" s="47"/>
      <c r="G28" s="5"/>
      <c r="H28" s="5"/>
      <c r="I28" s="5"/>
      <c r="J28" s="5"/>
      <c r="K28" s="5"/>
      <c r="L28" s="5"/>
    </row>
    <row r="29" spans="1:12" ht="18" customHeight="1" thickBot="1" x14ac:dyDescent="0.45">
      <c r="A29" s="53" t="s">
        <v>41</v>
      </c>
      <c r="B29" s="54">
        <f>SUM(B25:B28)</f>
        <v>20476.304380247038</v>
      </c>
      <c r="C29" s="54">
        <f>SUM(C25:C28)</f>
        <v>23310.387119482497</v>
      </c>
      <c r="D29" s="54">
        <f>SUM(D25:D28)</f>
        <v>27413.349269406393</v>
      </c>
      <c r="E29" s="54">
        <f>SUM(E25:E28)</f>
        <v>32199.760547945203</v>
      </c>
      <c r="F29" s="55"/>
      <c r="G29" s="5"/>
      <c r="H29" s="5"/>
      <c r="I29" s="5"/>
      <c r="J29" s="5"/>
      <c r="K29" s="5"/>
      <c r="L29" s="5"/>
    </row>
    <row r="30" spans="1:12" ht="18" customHeight="1" thickTop="1" x14ac:dyDescent="0.4">
      <c r="A30" s="3"/>
      <c r="B30" s="4"/>
      <c r="C30" s="4"/>
      <c r="D30" s="4"/>
      <c r="E30" s="4"/>
      <c r="F30" s="4"/>
      <c r="G30" s="5"/>
      <c r="H30" s="5"/>
      <c r="I30" s="5"/>
      <c r="J30" s="5"/>
      <c r="K30" s="5"/>
      <c r="L30" s="5"/>
    </row>
    <row r="31" spans="1:12" ht="18" customHeight="1" x14ac:dyDescent="0.4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</row>
    <row r="32" spans="1:12" ht="18" customHeight="1" x14ac:dyDescent="0.4">
      <c r="A32" t="s">
        <v>42</v>
      </c>
      <c r="G32" s="5"/>
      <c r="H32" s="5"/>
      <c r="I32" s="5"/>
      <c r="J32" s="5"/>
      <c r="K32" s="5"/>
      <c r="L32" s="5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4AC1A-68AA-4814-B402-8237C9DF8073}">
  <dimension ref="A2:N31"/>
  <sheetViews>
    <sheetView showGridLines="0" zoomScale="85" zoomScaleNormal="85" workbookViewId="0">
      <selection activeCell="B3" sqref="B3"/>
    </sheetView>
  </sheetViews>
  <sheetFormatPr defaultColWidth="9.15234375" defaultRowHeight="18" customHeight="1" x14ac:dyDescent="0.4"/>
  <cols>
    <col min="1" max="1" width="27.53515625" style="5" customWidth="1"/>
    <col min="2" max="8" width="9.15234375" style="5"/>
    <col min="9" max="9" width="30.15234375" style="5" customWidth="1"/>
    <col min="10" max="16384" width="9.15234375" style="5"/>
  </cols>
  <sheetData>
    <row r="2" spans="1:14" ht="18" customHeight="1" x14ac:dyDescent="0.4">
      <c r="A2" s="6" t="str">
        <f>company_name</f>
        <v>QuickDash</v>
      </c>
      <c r="B2" s="4"/>
      <c r="C2" s="4"/>
      <c r="D2" s="4"/>
      <c r="E2" s="4"/>
      <c r="F2" s="4"/>
      <c r="G2" s="4"/>
      <c r="I2" s="6" t="str">
        <f>name</f>
        <v>QuickDash</v>
      </c>
      <c r="J2" s="4"/>
      <c r="K2" s="4"/>
      <c r="L2" s="4"/>
      <c r="M2" s="4"/>
      <c r="N2" s="4"/>
    </row>
    <row r="3" spans="1:14" ht="18" customHeight="1" x14ac:dyDescent="0.4">
      <c r="A3" s="3" t="s">
        <v>43</v>
      </c>
      <c r="B3" s="8"/>
      <c r="C3" s="4"/>
      <c r="D3" s="4"/>
      <c r="E3" s="4"/>
      <c r="F3" s="4"/>
      <c r="G3" s="4"/>
      <c r="I3" s="23" t="s">
        <v>44</v>
      </c>
      <c r="J3" s="44"/>
      <c r="K3" s="44"/>
      <c r="L3" s="44"/>
      <c r="M3" s="44"/>
      <c r="N3" s="44"/>
    </row>
    <row r="4" spans="1:14" ht="18" customHeight="1" x14ac:dyDescent="0.4">
      <c r="B4" s="9"/>
      <c r="C4" s="9"/>
      <c r="D4" s="9"/>
      <c r="E4" s="9"/>
      <c r="F4" s="9"/>
      <c r="G4" s="9"/>
      <c r="I4" s="3"/>
      <c r="J4" s="45"/>
      <c r="K4" s="45"/>
      <c r="L4" s="45"/>
      <c r="M4" s="45"/>
      <c r="N4" s="45"/>
    </row>
    <row r="5" spans="1:14" ht="18" customHeight="1" x14ac:dyDescent="0.4">
      <c r="A5" s="3"/>
      <c r="B5" s="4"/>
      <c r="C5" s="4"/>
      <c r="D5" s="4"/>
      <c r="E5" s="4"/>
      <c r="F5" s="4"/>
      <c r="G5" s="4"/>
    </row>
    <row r="6" spans="1:14" ht="18" customHeight="1" thickBot="1" x14ac:dyDescent="0.45">
      <c r="A6" s="10" t="s">
        <v>4</v>
      </c>
      <c r="B6" s="11">
        <f>IS!B6</f>
        <v>2015</v>
      </c>
      <c r="C6" s="11">
        <f>IS!C6</f>
        <v>2016</v>
      </c>
      <c r="D6" s="11">
        <f>IS!D6</f>
        <v>2017</v>
      </c>
      <c r="E6" s="11">
        <f>IS!E6</f>
        <v>2018</v>
      </c>
      <c r="F6" s="12" t="str">
        <f>IS!F6</f>
        <v>2019E</v>
      </c>
      <c r="G6" s="65"/>
      <c r="I6" s="66" t="s">
        <v>4</v>
      </c>
      <c r="J6" s="67">
        <f>BS!B5</f>
        <v>2015</v>
      </c>
      <c r="K6" s="67">
        <f>BS!C5</f>
        <v>2016</v>
      </c>
      <c r="L6" s="67">
        <f>BS!D5</f>
        <v>2017</v>
      </c>
      <c r="M6" s="67">
        <f>BS!E5</f>
        <v>2018</v>
      </c>
      <c r="N6" s="67" t="str">
        <f>BS!F5</f>
        <v>2019E</v>
      </c>
    </row>
    <row r="7" spans="1:14" ht="18" customHeight="1" x14ac:dyDescent="0.4">
      <c r="A7" s="13" t="s">
        <v>5</v>
      </c>
      <c r="B7" s="14">
        <f>IS!B7</f>
        <v>19334.28</v>
      </c>
      <c r="C7" s="14">
        <f>IS!C7</f>
        <v>24859.824999999997</v>
      </c>
      <c r="D7" s="14">
        <f>IS!D7</f>
        <v>30682.170000000002</v>
      </c>
      <c r="E7" s="14">
        <f>IS!E7</f>
        <v>37114.944999999992</v>
      </c>
      <c r="F7" s="14">
        <f>IS!F7</f>
        <v>43978.159999999996</v>
      </c>
      <c r="G7" s="14"/>
      <c r="I7" s="46" t="s">
        <v>24</v>
      </c>
      <c r="J7" s="14">
        <f>BS!B6</f>
        <v>2193</v>
      </c>
      <c r="K7" s="14">
        <f>BS!C6</f>
        <v>2010</v>
      </c>
      <c r="L7" s="14">
        <f>BS!D6</f>
        <v>1608</v>
      </c>
      <c r="M7" s="14">
        <f>BS!E6</f>
        <v>1286.4000000000001</v>
      </c>
      <c r="N7" s="14">
        <f>BS!F6</f>
        <v>0</v>
      </c>
    </row>
    <row r="8" spans="1:14" ht="18" customHeight="1" x14ac:dyDescent="0.4">
      <c r="A8" s="23" t="s">
        <v>7</v>
      </c>
      <c r="B8" s="14">
        <f>IS!B8</f>
        <v>-14484.914359999999</v>
      </c>
      <c r="C8" s="14">
        <f>IS!C8</f>
        <v>-18534.329499999996</v>
      </c>
      <c r="D8" s="14">
        <f>IS!D8</f>
        <v>-22758.853200000001</v>
      </c>
      <c r="E8" s="14">
        <f>IS!E8</f>
        <v>-27401.733029999989</v>
      </c>
      <c r="F8" s="14">
        <f>IS!F8</f>
        <v>-32320.675279999996</v>
      </c>
      <c r="G8" s="14"/>
      <c r="I8" s="3" t="s">
        <v>25</v>
      </c>
      <c r="J8" s="14">
        <f>BS!B7</f>
        <v>565</v>
      </c>
      <c r="K8" s="14">
        <f>BS!C7</f>
        <v>623</v>
      </c>
      <c r="L8" s="14">
        <f>BS!D7</f>
        <v>908</v>
      </c>
      <c r="M8" s="14">
        <f>BS!E7</f>
        <v>1007</v>
      </c>
      <c r="N8" s="14">
        <f>BS!F7</f>
        <v>0</v>
      </c>
    </row>
    <row r="9" spans="1:14" ht="18" customHeight="1" x14ac:dyDescent="0.4">
      <c r="A9" s="23" t="s">
        <v>45</v>
      </c>
      <c r="B9" s="14">
        <f>IS!B11</f>
        <v>-3170.8219199999999</v>
      </c>
      <c r="C9" s="14">
        <f>IS!C11</f>
        <v>-4002.4318249999997</v>
      </c>
      <c r="D9" s="14">
        <f>IS!D11</f>
        <v>-4633.00767</v>
      </c>
      <c r="E9" s="14">
        <f>IS!E11</f>
        <v>-5752.8164749999987</v>
      </c>
      <c r="F9" s="14">
        <f>IS!F11</f>
        <v>0</v>
      </c>
      <c r="G9" s="14"/>
      <c r="I9" s="3" t="s">
        <v>46</v>
      </c>
      <c r="J9" s="14">
        <f>BS!B8</f>
        <v>1984.3530136986301</v>
      </c>
      <c r="K9" s="14">
        <f>BS!C8</f>
        <v>2548.9148972602743</v>
      </c>
      <c r="L9" s="14">
        <f>BS!D8</f>
        <v>3143.182602739726</v>
      </c>
      <c r="M9" s="14">
        <f>BS!E8</f>
        <v>3801.3605479452053</v>
      </c>
      <c r="N9" s="14">
        <f>BS!F8</f>
        <v>4502.4865753424647</v>
      </c>
    </row>
    <row r="10" spans="1:14" ht="18" customHeight="1" x14ac:dyDescent="0.4">
      <c r="A10" s="23" t="s">
        <v>47</v>
      </c>
      <c r="B10" s="14">
        <f>IS!B12</f>
        <v>-839.28112139917698</v>
      </c>
      <c r="C10" s="14">
        <f>IS!C12</f>
        <v>-1007.1373456790124</v>
      </c>
      <c r="D10" s="14">
        <f>IS!D12</f>
        <v>-1208.5648148148148</v>
      </c>
      <c r="E10" s="14">
        <f>IS!E12</f>
        <v>-1450.2777777777778</v>
      </c>
      <c r="F10" s="14">
        <f>IS!F12</f>
        <v>0</v>
      </c>
      <c r="G10" s="14"/>
      <c r="I10" s="50" t="s">
        <v>48</v>
      </c>
      <c r="J10" s="30">
        <f>SUM(J7:J9)</f>
        <v>4742.3530136986301</v>
      </c>
      <c r="K10" s="30">
        <f>SUM(K7:K9)</f>
        <v>5181.9148972602743</v>
      </c>
      <c r="L10" s="30">
        <f>SUM(L7:L9)</f>
        <v>5659.1826027397256</v>
      </c>
      <c r="M10" s="30">
        <f>SUM(M7:M9)</f>
        <v>6094.760547945205</v>
      </c>
      <c r="N10" s="30">
        <f>SUM(N7:N9)</f>
        <v>4502.4865753424647</v>
      </c>
    </row>
    <row r="11" spans="1:14" ht="18" customHeight="1" x14ac:dyDescent="0.4">
      <c r="A11" s="29" t="s">
        <v>11</v>
      </c>
      <c r="B11" s="30">
        <f>IS!B13</f>
        <v>839.26259860082405</v>
      </c>
      <c r="C11" s="30">
        <f>IS!C13</f>
        <v>1315.9263293209879</v>
      </c>
      <c r="D11" s="30">
        <f>IS!D13</f>
        <v>2081.7443151851858</v>
      </c>
      <c r="E11" s="30">
        <f>IS!E13</f>
        <v>2510.1177172222256</v>
      </c>
      <c r="F11" s="30">
        <f>IS!F13</f>
        <v>0</v>
      </c>
      <c r="G11" s="14"/>
      <c r="I11" s="3"/>
      <c r="J11" s="14"/>
      <c r="K11" s="14"/>
      <c r="L11" s="14"/>
      <c r="M11" s="14"/>
      <c r="N11" s="14"/>
    </row>
    <row r="12" spans="1:14" ht="18" customHeight="1" x14ac:dyDescent="0.4">
      <c r="A12" s="23"/>
      <c r="B12" s="14"/>
      <c r="C12" s="14"/>
      <c r="D12" s="14"/>
      <c r="E12" s="14"/>
      <c r="F12" s="14"/>
      <c r="G12" s="14"/>
      <c r="I12" s="3" t="s">
        <v>49</v>
      </c>
      <c r="J12" s="14">
        <f>BS!B19</f>
        <v>833.37863441095885</v>
      </c>
      <c r="K12" s="14">
        <f>BS!C19</f>
        <v>1066.3586835616436</v>
      </c>
      <c r="L12" s="14">
        <f>BS!D19</f>
        <v>1309.413471780822</v>
      </c>
      <c r="M12" s="14">
        <f>BS!E19</f>
        <v>1576.5380647397253</v>
      </c>
      <c r="N12" s="14">
        <f>BS!F19</f>
        <v>0</v>
      </c>
    </row>
    <row r="13" spans="1:14" ht="18" customHeight="1" x14ac:dyDescent="0.4">
      <c r="A13" s="23" t="s">
        <v>50</v>
      </c>
      <c r="B13" s="14">
        <f>IS!B18/IS!B16*B11</f>
        <v>-318.91978746831313</v>
      </c>
      <c r="C13" s="14">
        <f>IS!C18/IS!C16*C11</f>
        <v>-500.05200514197537</v>
      </c>
      <c r="D13" s="14">
        <f>IS!D18/IS!D16*D11</f>
        <v>-791.0628397703706</v>
      </c>
      <c r="E13" s="14">
        <f>IS!E18/IS!E16*E11</f>
        <v>-602.42825213333413</v>
      </c>
      <c r="F13" s="14" t="e">
        <f>IS!F18/IS!F16*F11</f>
        <v>#DIV/0!</v>
      </c>
      <c r="G13" s="68"/>
      <c r="I13" s="62" t="s">
        <v>33</v>
      </c>
      <c r="J13" s="20">
        <f>BS!B20</f>
        <v>182.43085019178082</v>
      </c>
      <c r="K13" s="20">
        <f>BS!C20</f>
        <v>230.27689952054791</v>
      </c>
      <c r="L13" s="20">
        <f>BS!D20</f>
        <v>266.55660567123289</v>
      </c>
      <c r="M13" s="20">
        <f>BS!E20</f>
        <v>330.98396157534239</v>
      </c>
      <c r="N13" s="20">
        <f>BS!F20</f>
        <v>0</v>
      </c>
    </row>
    <row r="14" spans="1:14" ht="18" customHeight="1" thickBot="1" x14ac:dyDescent="0.45">
      <c r="A14" s="69" t="s">
        <v>51</v>
      </c>
      <c r="B14" s="54">
        <f>B11+B13</f>
        <v>520.34281113251086</v>
      </c>
      <c r="C14" s="54">
        <f>C11+C13</f>
        <v>815.87432417901255</v>
      </c>
      <c r="D14" s="54">
        <f>D11+D13</f>
        <v>1290.6814754148152</v>
      </c>
      <c r="E14" s="54">
        <f>E11+E13</f>
        <v>1907.6894650888914</v>
      </c>
      <c r="F14" s="54" t="e">
        <f>F11+F13</f>
        <v>#DIV/0!</v>
      </c>
      <c r="I14" s="3" t="s">
        <v>52</v>
      </c>
      <c r="J14" s="18">
        <f>SUM(J12:J13)</f>
        <v>1015.8094846027396</v>
      </c>
      <c r="K14" s="18">
        <f>SUM(K12:K13)</f>
        <v>1296.6355830821915</v>
      </c>
      <c r="L14" s="18">
        <f>SUM(L12:L13)</f>
        <v>1575.9700774520547</v>
      </c>
      <c r="M14" s="18">
        <f>SUM(M12:M13)</f>
        <v>1907.5220263150677</v>
      </c>
      <c r="N14" s="18">
        <f>SUM(N12:N13)</f>
        <v>0</v>
      </c>
    </row>
    <row r="15" spans="1:14" ht="18" customHeight="1" thickTop="1" x14ac:dyDescent="0.4">
      <c r="I15" s="3"/>
      <c r="J15" s="14"/>
      <c r="K15" s="14"/>
      <c r="L15" s="14"/>
      <c r="M15" s="14"/>
      <c r="N15" s="14"/>
    </row>
    <row r="16" spans="1:14" ht="18" customHeight="1" x14ac:dyDescent="0.4">
      <c r="I16" s="3" t="s">
        <v>53</v>
      </c>
      <c r="J16" s="18">
        <f>J10-J14</f>
        <v>3726.5435290958903</v>
      </c>
      <c r="K16" s="18">
        <f>K10-K14</f>
        <v>3885.279314178083</v>
      </c>
      <c r="L16" s="18">
        <f>L10-L14</f>
        <v>4083.2125252876708</v>
      </c>
      <c r="M16" s="18">
        <f>M10-M14</f>
        <v>4187.2385216301373</v>
      </c>
      <c r="N16" s="18">
        <f>N10-N14</f>
        <v>4502.4865753424647</v>
      </c>
    </row>
    <row r="17" spans="1:14" ht="18" customHeight="1" x14ac:dyDescent="0.4">
      <c r="A17" s="1" t="s">
        <v>54</v>
      </c>
      <c r="G17" s="65"/>
      <c r="I17" s="3" t="s">
        <v>28</v>
      </c>
      <c r="J17" s="14">
        <f>BS!B11</f>
        <v>15107.060185185186</v>
      </c>
      <c r="K17" s="14">
        <f>BS!C11</f>
        <v>18128.472222222223</v>
      </c>
      <c r="L17" s="14">
        <f>BS!D11</f>
        <v>21754.166666666668</v>
      </c>
      <c r="M17" s="14">
        <f>BS!E11</f>
        <v>26105</v>
      </c>
      <c r="N17" s="14">
        <f>BS!F11</f>
        <v>0</v>
      </c>
    </row>
    <row r="18" spans="1:14" ht="18" customHeight="1" thickBot="1" x14ac:dyDescent="0.45">
      <c r="G18" s="18"/>
      <c r="I18" s="53" t="s">
        <v>55</v>
      </c>
      <c r="J18" s="54">
        <f>SUM(J16:J17)</f>
        <v>18833.603714281075</v>
      </c>
      <c r="K18" s="54">
        <f>SUM(K16:K17)</f>
        <v>22013.751536400305</v>
      </c>
      <c r="L18" s="54">
        <f>SUM(L16:L17)</f>
        <v>25837.37919195434</v>
      </c>
      <c r="M18" s="54">
        <f>SUM(M16:M17)</f>
        <v>30292.238521630137</v>
      </c>
      <c r="N18" s="54">
        <f>SUM(N16:N17)</f>
        <v>4502.4865753424647</v>
      </c>
    </row>
    <row r="19" spans="1:14" ht="18" customHeight="1" thickTop="1" thickBot="1" x14ac:dyDescent="0.45">
      <c r="A19" s="10" t="s">
        <v>4</v>
      </c>
      <c r="B19" s="11">
        <f>start</f>
        <v>2015</v>
      </c>
      <c r="C19" s="11">
        <f>B19+1</f>
        <v>2016</v>
      </c>
      <c r="D19" s="11">
        <f>C19+1</f>
        <v>2017</v>
      </c>
      <c r="E19" s="11">
        <f>D19+1</f>
        <v>2018</v>
      </c>
      <c r="F19" s="12" t="str">
        <f>F6</f>
        <v>2019E</v>
      </c>
      <c r="G19" s="14"/>
      <c r="I19" s="3"/>
      <c r="J19" s="8"/>
      <c r="K19" s="8"/>
      <c r="L19" s="8"/>
      <c r="M19" s="8"/>
      <c r="N19" s="8"/>
    </row>
    <row r="20" spans="1:14" ht="18" customHeight="1" x14ac:dyDescent="0.4">
      <c r="A20" t="s">
        <v>19</v>
      </c>
      <c r="B20" s="18">
        <f>B22+B21</f>
        <v>1088.5888747688746</v>
      </c>
      <c r="C20" s="18">
        <f>C22+C21</f>
        <v>1440.9449941790126</v>
      </c>
      <c r="D20" s="18">
        <f>D22+D21</f>
        <v>1982.0598031795344</v>
      </c>
      <c r="E20" s="18">
        <f>E22+E21</f>
        <v>2901.810996253555</v>
      </c>
      <c r="F20" s="18" t="e">
        <f>F22+F21</f>
        <v>#DIV/0!</v>
      </c>
      <c r="G20" s="70"/>
    </row>
    <row r="21" spans="1:14" ht="18" customHeight="1" x14ac:dyDescent="0.4">
      <c r="A21" s="5" t="s">
        <v>56</v>
      </c>
      <c r="B21" s="14">
        <f>-(1+IS!B18/IS!B16)*IS!B15</f>
        <v>568.2460636363636</v>
      </c>
      <c r="C21" s="14">
        <f>-(1+IS!C18/IS!C16)*IS!C15</f>
        <v>625.07067000000006</v>
      </c>
      <c r="D21" s="14">
        <f>-(1+IS!D18/IS!D16)*IS!D15</f>
        <v>691.37832776471919</v>
      </c>
      <c r="E21" s="14">
        <f>-(1+IS!E18/IS!E16)*IS!E15</f>
        <v>994.12153116466345</v>
      </c>
      <c r="F21" s="14" t="e">
        <f>-(1+IS!F18/IS!F16)*IS!F15</f>
        <v>#DIV/0!</v>
      </c>
      <c r="I21" s="6" t="s">
        <v>57</v>
      </c>
      <c r="J21" s="8"/>
      <c r="K21" s="8"/>
      <c r="L21" s="8"/>
      <c r="M21" s="8"/>
      <c r="N21" s="8"/>
    </row>
    <row r="22" spans="1:14" ht="18" customHeight="1" thickBot="1" x14ac:dyDescent="0.45">
      <c r="A22" s="71" t="s">
        <v>51</v>
      </c>
      <c r="B22" s="72">
        <f>B14</f>
        <v>520.34281113251086</v>
      </c>
      <c r="C22" s="72">
        <f>C14</f>
        <v>815.87432417901255</v>
      </c>
      <c r="D22" s="72">
        <f>D14</f>
        <v>1290.6814754148152</v>
      </c>
      <c r="E22" s="72">
        <f>E14</f>
        <v>1907.6894650888914</v>
      </c>
      <c r="F22" s="72" t="e">
        <f>F14</f>
        <v>#DIV/0!</v>
      </c>
      <c r="I22" s="3"/>
      <c r="J22" s="8"/>
      <c r="K22" s="8"/>
      <c r="L22" s="8"/>
      <c r="M22" s="8"/>
      <c r="N22" s="8"/>
    </row>
    <row r="23" spans="1:14" ht="18" customHeight="1" thickTop="1" x14ac:dyDescent="0.4">
      <c r="I23" s="66" t="s">
        <v>4</v>
      </c>
      <c r="J23" s="67">
        <f>BS!B17</f>
        <v>2015</v>
      </c>
      <c r="K23" s="67">
        <f>BS!C17</f>
        <v>2016</v>
      </c>
      <c r="L23" s="67">
        <f>BS!D17</f>
        <v>2017</v>
      </c>
      <c r="M23" s="67">
        <f>BS!E17</f>
        <v>2018</v>
      </c>
      <c r="N23" s="67" t="str">
        <f>BS!F17</f>
        <v>2019E</v>
      </c>
    </row>
    <row r="24" spans="1:14" ht="18" customHeight="1" x14ac:dyDescent="0.4">
      <c r="I24" s="3" t="s">
        <v>31</v>
      </c>
      <c r="J24" s="18">
        <f>BS!B18</f>
        <v>361</v>
      </c>
      <c r="K24" s="18">
        <f>BS!C18</f>
        <v>365.57335694736594</v>
      </c>
      <c r="L24" s="18">
        <f>BS!D18</f>
        <v>764.09230929574915</v>
      </c>
      <c r="M24" s="18">
        <f>BS!E18</f>
        <v>908.96703838064968</v>
      </c>
      <c r="N24" s="18">
        <f>BS!F18</f>
        <v>0</v>
      </c>
    </row>
    <row r="25" spans="1:14" ht="18" customHeight="1" x14ac:dyDescent="0.4">
      <c r="G25" s="16"/>
      <c r="I25" s="3" t="s">
        <v>36</v>
      </c>
      <c r="J25" s="14">
        <f>BS!B24</f>
        <v>12085.64814814815</v>
      </c>
      <c r="K25" s="14">
        <f>BS!C24</f>
        <v>14502.777777777779</v>
      </c>
      <c r="L25" s="14">
        <f>BS!D24</f>
        <v>17403.333333333336</v>
      </c>
      <c r="M25" s="14">
        <f>BS!E24</f>
        <v>20884</v>
      </c>
      <c r="N25" s="14">
        <f>BS!F24</f>
        <v>0</v>
      </c>
    </row>
    <row r="26" spans="1:14" ht="18" customHeight="1" x14ac:dyDescent="0.4">
      <c r="G26" s="16"/>
    </row>
    <row r="27" spans="1:14" ht="18" customHeight="1" x14ac:dyDescent="0.4">
      <c r="G27" s="16"/>
      <c r="I27" s="3" t="s">
        <v>34</v>
      </c>
      <c r="J27" s="14">
        <f>BS!B21</f>
        <v>12.75</v>
      </c>
      <c r="K27" s="14">
        <f>BS!C21</f>
        <v>15.5</v>
      </c>
      <c r="L27" s="14">
        <f>BS!D21</f>
        <v>19.75</v>
      </c>
      <c r="M27" s="14">
        <f>BS!E21</f>
        <v>21.5</v>
      </c>
      <c r="N27" s="14">
        <f>BS!F21</f>
        <v>0</v>
      </c>
    </row>
    <row r="28" spans="1:14" ht="18" customHeight="1" x14ac:dyDescent="0.4">
      <c r="G28" s="16"/>
      <c r="I28" s="3" t="s">
        <v>39</v>
      </c>
      <c r="J28" s="14">
        <f>BS!B27</f>
        <v>4000</v>
      </c>
      <c r="K28" s="14">
        <f>BS!C27</f>
        <v>4000</v>
      </c>
      <c r="L28" s="14">
        <f>BS!D27</f>
        <v>4000</v>
      </c>
      <c r="M28" s="14">
        <f>BS!E27</f>
        <v>4000</v>
      </c>
      <c r="N28" s="14">
        <f>BS!F27</f>
        <v>0</v>
      </c>
    </row>
    <row r="29" spans="1:14" ht="18" customHeight="1" x14ac:dyDescent="0.4">
      <c r="G29" s="73"/>
      <c r="I29" s="3" t="s">
        <v>40</v>
      </c>
      <c r="J29" s="14">
        <f>BS!B28</f>
        <v>3001.0967474961471</v>
      </c>
      <c r="K29" s="14">
        <f>BS!C28</f>
        <v>3129.9004016751596</v>
      </c>
      <c r="L29" s="14">
        <f>BS!D28</f>
        <v>3650.2035493252556</v>
      </c>
      <c r="M29" s="14">
        <f>BS!E28</f>
        <v>4477.7714832494839</v>
      </c>
      <c r="N29" s="14">
        <f>BS!F28</f>
        <v>0</v>
      </c>
    </row>
    <row r="30" spans="1:14" ht="18" customHeight="1" thickBot="1" x14ac:dyDescent="0.45">
      <c r="G30" s="16"/>
      <c r="I30" s="53" t="s">
        <v>58</v>
      </c>
      <c r="J30" s="54">
        <f>SUM(J24:J29)</f>
        <v>19460.494895644297</v>
      </c>
      <c r="K30" s="54">
        <f t="shared" ref="K30:N30" si="0">SUM(K24:K29)</f>
        <v>22013.751536400305</v>
      </c>
      <c r="L30" s="54">
        <f t="shared" si="0"/>
        <v>25837.37919195434</v>
      </c>
      <c r="M30" s="54">
        <f t="shared" si="0"/>
        <v>30292.238521630134</v>
      </c>
      <c r="N30" s="54">
        <f t="shared" si="0"/>
        <v>0</v>
      </c>
    </row>
    <row r="31" spans="1:14" ht="18" customHeight="1" thickTop="1" x14ac:dyDescent="0.4"/>
  </sheetData>
  <pageMargins left="0.7" right="0.7" top="0.75" bottom="0.75" header="0.3" footer="0.3"/>
  <pageSetup orientation="landscape" horizontalDpi="1200" verticalDpi="1200" r:id="rId1"/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6DFF5-8831-4C04-AE7C-7BF67CD7B708}">
  <dimension ref="A2:F12"/>
  <sheetViews>
    <sheetView zoomScale="85" zoomScaleNormal="85" workbookViewId="0">
      <selection activeCell="B3" sqref="B3"/>
    </sheetView>
  </sheetViews>
  <sheetFormatPr defaultRowHeight="17.5" customHeight="1" x14ac:dyDescent="0.4"/>
  <cols>
    <col min="1" max="1" width="22.53515625" customWidth="1"/>
  </cols>
  <sheetData>
    <row r="2" spans="1:6" ht="17.5" customHeight="1" x14ac:dyDescent="0.4">
      <c r="A2" s="6" t="str">
        <f>company_name</f>
        <v>QuickDash</v>
      </c>
    </row>
    <row r="3" spans="1:6" ht="17.5" customHeight="1" x14ac:dyDescent="0.4">
      <c r="A3" t="s">
        <v>59</v>
      </c>
    </row>
    <row r="5" spans="1:6" ht="17.5" customHeight="1" thickBot="1" x14ac:dyDescent="0.45">
      <c r="A5" s="74"/>
      <c r="B5" s="75">
        <f>Reorganized!B6</f>
        <v>2015</v>
      </c>
      <c r="C5" s="75">
        <f>Reorganized!C6</f>
        <v>2016</v>
      </c>
      <c r="D5" s="75">
        <f>Reorganized!D6</f>
        <v>2017</v>
      </c>
      <c r="E5" s="75">
        <f>Reorganized!E6</f>
        <v>2018</v>
      </c>
      <c r="F5" s="75" t="str">
        <f>Reorganized!F6</f>
        <v>2019E</v>
      </c>
    </row>
    <row r="6" spans="1:6" ht="17.5" customHeight="1" x14ac:dyDescent="0.4">
      <c r="A6" s="5" t="s">
        <v>60</v>
      </c>
      <c r="B6" s="16">
        <f>Reorganized!B11/Reorganized!B7</f>
        <v>4.3408008914778522E-2</v>
      </c>
      <c r="C6" s="16">
        <f>Reorganized!C11/Reorganized!C7</f>
        <v>5.2933853288226605E-2</v>
      </c>
      <c r="D6" s="16">
        <f>Reorganized!D11/Reorganized!D7</f>
        <v>6.7848666348735626E-2</v>
      </c>
      <c r="E6" s="16">
        <f>Reorganized!E11/Reorganized!E7</f>
        <v>6.7630915719320783E-2</v>
      </c>
      <c r="F6" s="16">
        <f>Reorganized!F11/Reorganized!F7</f>
        <v>0</v>
      </c>
    </row>
    <row r="7" spans="1:6" ht="17.5" customHeight="1" x14ac:dyDescent="0.4">
      <c r="A7" s="76" t="s">
        <v>61</v>
      </c>
      <c r="B7" s="21">
        <f>-Reorganized!B13/Reorganized!B11</f>
        <v>0.38</v>
      </c>
      <c r="C7" s="21">
        <f>-Reorganized!C13/Reorganized!C11</f>
        <v>0.38</v>
      </c>
      <c r="D7" s="21">
        <f>-Reorganized!D13/Reorganized!D11</f>
        <v>0.38</v>
      </c>
      <c r="E7" s="21">
        <f>-Reorganized!E13/Reorganized!E11</f>
        <v>0.24</v>
      </c>
      <c r="F7" s="21" t="e">
        <f>-Reorganized!F13/Reorganized!F11</f>
        <v>#DIV/0!</v>
      </c>
    </row>
    <row r="8" spans="1:6" ht="17.5" customHeight="1" x14ac:dyDescent="0.4">
      <c r="A8" s="5" t="s">
        <v>62</v>
      </c>
      <c r="B8" s="16">
        <f>B6*(1-B7)</f>
        <v>2.6912965527162682E-2</v>
      </c>
      <c r="C8" s="16">
        <f>C6*(1-C7)</f>
        <v>3.2818989038700494E-2</v>
      </c>
      <c r="D8" s="16">
        <f>D6*(1-D7)</f>
        <v>4.2066173136216085E-2</v>
      </c>
      <c r="E8" s="16">
        <f>E6*(1-E7)</f>
        <v>5.1399495946683797E-2</v>
      </c>
      <c r="F8" s="16" t="e">
        <f>F6*(1-F7)</f>
        <v>#DIV/0!</v>
      </c>
    </row>
    <row r="9" spans="1:6" ht="17.5" customHeight="1" x14ac:dyDescent="0.4">
      <c r="A9" s="5"/>
      <c r="B9" s="16"/>
      <c r="C9" s="16"/>
      <c r="D9" s="16"/>
      <c r="E9" s="16"/>
      <c r="F9" s="16"/>
    </row>
    <row r="10" spans="1:6" ht="17.5" customHeight="1" x14ac:dyDescent="0.4">
      <c r="A10" s="77" t="s">
        <v>63</v>
      </c>
      <c r="B10" s="78">
        <f>Reorganized!B7/Reorganized!J18</f>
        <v>1.026584199886253</v>
      </c>
      <c r="C10" s="78">
        <f>Reorganized!C7/Reorganized!K18</f>
        <v>1.1292861627375796</v>
      </c>
      <c r="D10" s="78">
        <f>Reorganized!D7/Reorganized!L18</f>
        <v>1.1875109225301888</v>
      </c>
      <c r="E10" s="78">
        <f>Reorganized!E7/Reorganized!M18</f>
        <v>1.2252295245033842</v>
      </c>
      <c r="F10" s="78">
        <f>Reorganized!F7/Reorganized!N18</f>
        <v>9.7675271795019096</v>
      </c>
    </row>
    <row r="11" spans="1:6" ht="17.5" customHeight="1" thickBot="1" x14ac:dyDescent="0.45">
      <c r="A11" s="79" t="s">
        <v>64</v>
      </c>
      <c r="B11" s="37">
        <f>B8*B10</f>
        <v>2.7628425182268612E-2</v>
      </c>
      <c r="C11" s="37">
        <f>C8*C10</f>
        <v>3.7062030196440769E-2</v>
      </c>
      <c r="D11" s="37">
        <f>D8*D10</f>
        <v>4.9954040068302605E-2</v>
      </c>
      <c r="E11" s="37">
        <f>E8*E10</f>
        <v>6.2976179978469007E-2</v>
      </c>
      <c r="F11" s="37" t="e">
        <f>F8*F10</f>
        <v>#DIV/0!</v>
      </c>
    </row>
    <row r="12" spans="1:6" ht="17.5" customHeight="1" thickTop="1" x14ac:dyDescent="0.4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31660-0702-4464-920A-CACA54D723D2}">
  <dimension ref="A1:F37"/>
  <sheetViews>
    <sheetView showGridLines="0" zoomScale="85" zoomScaleNormal="85" workbookViewId="0">
      <selection activeCell="B3" sqref="B3"/>
    </sheetView>
  </sheetViews>
  <sheetFormatPr defaultColWidth="9.15234375" defaultRowHeight="17.25" customHeight="1" x14ac:dyDescent="0.4"/>
  <cols>
    <col min="1" max="1" width="29.3828125" style="5" customWidth="1"/>
    <col min="2" max="5" width="9.53515625" style="5" bestFit="1" customWidth="1"/>
    <col min="6" max="16384" width="9.15234375" style="5"/>
  </cols>
  <sheetData>
    <row r="1" spans="1:6" ht="17.25" customHeight="1" x14ac:dyDescent="0.4">
      <c r="A1" s="3"/>
      <c r="B1" s="4"/>
      <c r="C1" s="4"/>
      <c r="D1" s="4"/>
    </row>
    <row r="2" spans="1:6" ht="17.25" customHeight="1" x14ac:dyDescent="0.4">
      <c r="A2" s="6" t="str">
        <f>company_name</f>
        <v>QuickDash</v>
      </c>
      <c r="B2" s="4"/>
      <c r="C2" s="4"/>
      <c r="D2" s="4"/>
      <c r="E2" s="4"/>
    </row>
    <row r="3" spans="1:6" ht="17.25" customHeight="1" x14ac:dyDescent="0.4">
      <c r="A3" s="23" t="s">
        <v>65</v>
      </c>
      <c r="B3" s="44"/>
      <c r="C3" s="44"/>
      <c r="D3" s="44"/>
      <c r="E3" s="44"/>
    </row>
    <row r="4" spans="1:6" ht="17.25" customHeight="1" x14ac:dyDescent="0.4">
      <c r="A4" s="41"/>
      <c r="B4" s="44"/>
      <c r="C4" s="44"/>
      <c r="D4" s="44"/>
      <c r="E4" s="44"/>
    </row>
    <row r="5" spans="1:6" ht="17.25" customHeight="1" x14ac:dyDescent="0.4">
      <c r="A5" s="3"/>
      <c r="B5" s="45"/>
      <c r="C5" s="45"/>
      <c r="D5" s="45"/>
      <c r="E5" s="45"/>
    </row>
    <row r="6" spans="1:6" ht="17.25" customHeight="1" thickBot="1" x14ac:dyDescent="0.45">
      <c r="A6" s="10" t="s">
        <v>4</v>
      </c>
      <c r="B6" s="12">
        <f>IS!C6</f>
        <v>2016</v>
      </c>
      <c r="C6" s="12">
        <f>IS!D6</f>
        <v>2017</v>
      </c>
      <c r="D6" s="12">
        <f>IS!E6</f>
        <v>2018</v>
      </c>
      <c r="E6" s="12" t="str">
        <f>IS!F6</f>
        <v>2019E</v>
      </c>
    </row>
    <row r="7" spans="1:6" ht="17.25" customHeight="1" x14ac:dyDescent="0.4">
      <c r="A7" s="5" t="s">
        <v>16</v>
      </c>
      <c r="B7" s="80">
        <f>IS!C19</f>
        <v>190.80365417901243</v>
      </c>
      <c r="C7" s="80">
        <f>IS!D19</f>
        <v>599.30314765009598</v>
      </c>
      <c r="D7" s="80">
        <f>IS!E19</f>
        <v>913.5679339242281</v>
      </c>
      <c r="E7" s="80">
        <f>IS!F19</f>
        <v>0</v>
      </c>
    </row>
    <row r="8" spans="1:6" ht="17.25" customHeight="1" x14ac:dyDescent="0.4">
      <c r="A8" s="76" t="s">
        <v>10</v>
      </c>
      <c r="B8" s="81">
        <f>-IS!C12</f>
        <v>1007.1373456790124</v>
      </c>
      <c r="C8" s="81">
        <f>-IS!D12</f>
        <v>1208.5648148148148</v>
      </c>
      <c r="D8" s="81">
        <f>-IS!E12</f>
        <v>1450.2777777777778</v>
      </c>
      <c r="E8" s="81">
        <f>-IS!F12</f>
        <v>0</v>
      </c>
    </row>
    <row r="9" spans="1:6" ht="17.25" customHeight="1" x14ac:dyDescent="0.4">
      <c r="A9" s="5" t="s">
        <v>66</v>
      </c>
      <c r="B9" s="80">
        <f>SUM(B7:B8)</f>
        <v>1197.9409998580247</v>
      </c>
      <c r="C9" s="80">
        <f t="shared" ref="C9:E9" si="0">SUM(C7:C8)</f>
        <v>1807.8679624649108</v>
      </c>
      <c r="D9" s="80">
        <f t="shared" si="0"/>
        <v>2363.8457117020062</v>
      </c>
      <c r="E9" s="80">
        <f t="shared" si="0"/>
        <v>0</v>
      </c>
      <c r="F9" s="80"/>
    </row>
    <row r="11" spans="1:6" ht="17.25" customHeight="1" x14ac:dyDescent="0.4">
      <c r="A11" s="5" t="s">
        <v>25</v>
      </c>
      <c r="B11" s="80">
        <f>BS!B7-BS!C7</f>
        <v>-58</v>
      </c>
      <c r="C11" s="80">
        <f>BS!C7-BS!D7</f>
        <v>-285</v>
      </c>
      <c r="D11" s="80">
        <f>BS!D7-BS!E7</f>
        <v>-99</v>
      </c>
      <c r="E11" s="80">
        <f>BS!E7-BS!F7</f>
        <v>1007</v>
      </c>
    </row>
    <row r="12" spans="1:6" ht="17.25" customHeight="1" x14ac:dyDescent="0.4">
      <c r="A12" s="5" t="s">
        <v>46</v>
      </c>
      <c r="B12" s="80">
        <f>BS!B8-BS!C8</f>
        <v>-564.56188356164421</v>
      </c>
      <c r="C12" s="80">
        <f>BS!C8-BS!D8</f>
        <v>-594.26770547945171</v>
      </c>
      <c r="D12" s="80">
        <f>BS!D8-BS!E8</f>
        <v>-658.17794520547932</v>
      </c>
      <c r="E12" s="80">
        <f>BS!E8-BS!F8</f>
        <v>-701.12602739725935</v>
      </c>
    </row>
    <row r="13" spans="1:6" ht="17.25" customHeight="1" x14ac:dyDescent="0.4">
      <c r="A13" s="5" t="s">
        <v>49</v>
      </c>
      <c r="B13" s="80">
        <f>BS!C19-BS!B19</f>
        <v>232.98004915068475</v>
      </c>
      <c r="C13" s="80">
        <f>BS!D19-BS!C19</f>
        <v>243.05478821917836</v>
      </c>
      <c r="D13" s="80">
        <f>BS!E19-BS!D19</f>
        <v>267.12459295890335</v>
      </c>
      <c r="E13" s="80">
        <f>BS!F19-BS!E19</f>
        <v>-1576.5380647397253</v>
      </c>
    </row>
    <row r="14" spans="1:6" ht="17.25" customHeight="1" x14ac:dyDescent="0.4">
      <c r="A14" s="5" t="s">
        <v>33</v>
      </c>
      <c r="B14" s="80">
        <f>BS!C20-BS!B20</f>
        <v>47.846049328767094</v>
      </c>
      <c r="C14" s="80">
        <f>BS!D20-BS!C20</f>
        <v>36.279706150684973</v>
      </c>
      <c r="D14" s="80">
        <f>BS!E20-BS!D20</f>
        <v>64.427355904109504</v>
      </c>
      <c r="E14" s="80">
        <f>BS!F20-BS!E20</f>
        <v>-330.98396157534239</v>
      </c>
    </row>
    <row r="15" spans="1:6" ht="17.25" customHeight="1" x14ac:dyDescent="0.4">
      <c r="A15" s="82" t="s">
        <v>67</v>
      </c>
      <c r="B15" s="83">
        <f>SUM(B9:B14)</f>
        <v>856.20521477583236</v>
      </c>
      <c r="C15" s="83">
        <f>SUM(C9:C14)</f>
        <v>1207.9347513553223</v>
      </c>
      <c r="D15" s="83">
        <f>SUM(D9:D14)</f>
        <v>1938.2197153595398</v>
      </c>
      <c r="E15" s="83">
        <f>SUM(E9:E14)</f>
        <v>-1601.6480537123271</v>
      </c>
    </row>
    <row r="16" spans="1:6" ht="17.25" customHeight="1" x14ac:dyDescent="0.4">
      <c r="B16" s="80"/>
      <c r="C16" s="80"/>
      <c r="D16" s="80"/>
      <c r="E16" s="80"/>
    </row>
    <row r="18" spans="1:5" ht="17.25" customHeight="1" x14ac:dyDescent="0.4">
      <c r="A18" s="84" t="s">
        <v>68</v>
      </c>
      <c r="B18" s="81">
        <f>BS!B11-BS!C11+IS!C12</f>
        <v>-4028.549382716049</v>
      </c>
      <c r="C18" s="81">
        <f>BS!C11-BS!D11+IS!D12</f>
        <v>-4834.25925925926</v>
      </c>
      <c r="D18" s="81">
        <f>BS!D11-BS!E11+IS!E12</f>
        <v>-5801.1111111111095</v>
      </c>
      <c r="E18" s="81">
        <f>BS!E11-BS!F11+IS!F12</f>
        <v>26105</v>
      </c>
    </row>
    <row r="19" spans="1:5" ht="17.25" customHeight="1" x14ac:dyDescent="0.4">
      <c r="A19" s="1" t="s">
        <v>69</v>
      </c>
      <c r="B19" s="85">
        <f>SUM(B18:B18)</f>
        <v>-4028.549382716049</v>
      </c>
      <c r="C19" s="85">
        <f>SUM(C18:C18)</f>
        <v>-4834.25925925926</v>
      </c>
      <c r="D19" s="85">
        <f>SUM(D18:D18)</f>
        <v>-5801.1111111111095</v>
      </c>
      <c r="E19" s="85">
        <f>SUM(E18:E18)</f>
        <v>26105</v>
      </c>
    </row>
    <row r="20" spans="1:5" ht="17.25" customHeight="1" x14ac:dyDescent="0.4">
      <c r="A20" s="1"/>
      <c r="B20" s="85"/>
      <c r="C20" s="85"/>
      <c r="D20" s="85"/>
      <c r="E20" s="85"/>
    </row>
    <row r="21" spans="1:5" ht="17.25" customHeight="1" x14ac:dyDescent="0.4">
      <c r="B21" s="80"/>
      <c r="C21" s="80"/>
      <c r="D21" s="80"/>
      <c r="E21" s="80"/>
    </row>
    <row r="22" spans="1:5" ht="17.25" customHeight="1" x14ac:dyDescent="0.4">
      <c r="A22" s="5" t="s">
        <v>31</v>
      </c>
      <c r="B22" s="80">
        <f>BS!C18-BS!B18</f>
        <v>4.5733569473659372</v>
      </c>
      <c r="C22" s="80">
        <f>BS!D18-BS!C18</f>
        <v>398.51895234838321</v>
      </c>
      <c r="D22" s="80">
        <f>BS!E18-BS!D18</f>
        <v>144.87472908490054</v>
      </c>
      <c r="E22" s="80">
        <f>BS!F18-BS!E18</f>
        <v>-908.96703838064968</v>
      </c>
    </row>
    <row r="23" spans="1:5" ht="17.25" customHeight="1" x14ac:dyDescent="0.4">
      <c r="A23" s="5" t="s">
        <v>36</v>
      </c>
      <c r="B23" s="80">
        <f>BS!C24-BS!B24</f>
        <v>2417.1296296296296</v>
      </c>
      <c r="C23" s="80">
        <f>BS!D24-BS!C24</f>
        <v>2900.5555555555566</v>
      </c>
      <c r="D23" s="80">
        <f>BS!E24-BS!D24</f>
        <v>3480.6666666666642</v>
      </c>
      <c r="E23" s="80">
        <f>BS!F24-BS!E24</f>
        <v>-20884</v>
      </c>
    </row>
    <row r="24" spans="1:5" ht="17.25" customHeight="1" x14ac:dyDescent="0.4">
      <c r="A24" s="5" t="s">
        <v>70</v>
      </c>
      <c r="B24" s="80">
        <f>IS!C27</f>
        <v>-62</v>
      </c>
      <c r="C24" s="80">
        <f>IS!D27</f>
        <v>-79</v>
      </c>
      <c r="D24" s="80">
        <f>IS!E27</f>
        <v>-86</v>
      </c>
      <c r="E24" s="80">
        <f>IS!F27</f>
        <v>0</v>
      </c>
    </row>
    <row r="25" spans="1:5" ht="17.25" customHeight="1" x14ac:dyDescent="0.4">
      <c r="A25" s="5" t="s">
        <v>34</v>
      </c>
      <c r="B25" s="80">
        <f>BS!C21-BS!B21</f>
        <v>2.75</v>
      </c>
      <c r="C25" s="80">
        <f>BS!D21-BS!C21</f>
        <v>4.25</v>
      </c>
      <c r="D25" s="80">
        <f>BS!E21-BS!D21</f>
        <v>1.75</v>
      </c>
      <c r="E25" s="80">
        <f>BS!F21-BS!E21</f>
        <v>-21.5</v>
      </c>
    </row>
    <row r="26" spans="1:5" ht="17.25" customHeight="1" x14ac:dyDescent="0.4">
      <c r="A26" s="5" t="s">
        <v>39</v>
      </c>
      <c r="B26" s="80">
        <f>BS!C27-BS!B27</f>
        <v>0</v>
      </c>
      <c r="C26" s="80">
        <f>BS!D27-BS!C27</f>
        <v>0</v>
      </c>
      <c r="D26" s="80">
        <f>BS!E27-BS!D27</f>
        <v>0</v>
      </c>
      <c r="E26" s="80">
        <f>BS!F27-BS!E27</f>
        <v>-4000</v>
      </c>
    </row>
    <row r="27" spans="1:5" ht="17.25" customHeight="1" x14ac:dyDescent="0.4">
      <c r="A27" s="82" t="s">
        <v>71</v>
      </c>
      <c r="B27" s="86">
        <f>SUM(B22:B26)</f>
        <v>2362.4529865769955</v>
      </c>
      <c r="C27" s="86">
        <f t="shared" ref="C27:E27" si="1">SUM(C22:C26)</f>
        <v>3224.3245079039398</v>
      </c>
      <c r="D27" s="86">
        <f t="shared" si="1"/>
        <v>3541.2913957515648</v>
      </c>
      <c r="E27" s="86">
        <f t="shared" si="1"/>
        <v>-25814.467038380652</v>
      </c>
    </row>
    <row r="28" spans="1:5" ht="17.25" customHeight="1" x14ac:dyDescent="0.4">
      <c r="A28" s="1"/>
      <c r="B28" s="87"/>
      <c r="C28" s="87"/>
      <c r="D28" s="87"/>
      <c r="E28" s="87"/>
    </row>
    <row r="29" spans="1:5" ht="17.25" customHeight="1" x14ac:dyDescent="0.4">
      <c r="A29" s="1"/>
      <c r="B29" s="87"/>
      <c r="C29" s="87"/>
      <c r="D29" s="87"/>
      <c r="E29" s="87"/>
    </row>
    <row r="30" spans="1:5" ht="17.25" customHeight="1" x14ac:dyDescent="0.4">
      <c r="A30" s="6" t="str">
        <f>company_name</f>
        <v>QuickDash</v>
      </c>
    </row>
    <row r="31" spans="1:5" ht="17.25" customHeight="1" x14ac:dyDescent="0.4">
      <c r="A31" s="23" t="s">
        <v>72</v>
      </c>
    </row>
    <row r="33" spans="1:5" ht="17.25" customHeight="1" thickBot="1" x14ac:dyDescent="0.45">
      <c r="A33" s="10" t="s">
        <v>4</v>
      </c>
      <c r="B33" s="12">
        <f>B6</f>
        <v>2016</v>
      </c>
      <c r="C33" s="12">
        <f>C6</f>
        <v>2017</v>
      </c>
      <c r="D33" s="12">
        <f>D6</f>
        <v>2018</v>
      </c>
      <c r="E33" s="12" t="str">
        <f>E6</f>
        <v>2019E</v>
      </c>
    </row>
    <row r="34" spans="1:5" ht="17.25" customHeight="1" x14ac:dyDescent="0.4">
      <c r="A34" s="5" t="s">
        <v>73</v>
      </c>
      <c r="B34" s="80">
        <f>BS!B6</f>
        <v>2193</v>
      </c>
      <c r="C34" s="80">
        <f>BS!C6</f>
        <v>2010</v>
      </c>
      <c r="D34" s="80">
        <f>BS!D6</f>
        <v>1608</v>
      </c>
      <c r="E34" s="80">
        <f>BS!E6</f>
        <v>1286.4000000000001</v>
      </c>
    </row>
    <row r="35" spans="1:5" ht="17.25" customHeight="1" x14ac:dyDescent="0.4">
      <c r="A35" s="5" t="s">
        <v>74</v>
      </c>
      <c r="B35" s="80">
        <f>B15+B19+B27</f>
        <v>-809.89118136322122</v>
      </c>
      <c r="C35" s="80">
        <f>C15+C19+C27</f>
        <v>-401.99999999999818</v>
      </c>
      <c r="D35" s="80">
        <f>D15+D19+D27</f>
        <v>-321.60000000000491</v>
      </c>
      <c r="E35" s="80">
        <f>E15+E19+E27</f>
        <v>-1311.1150920929795</v>
      </c>
    </row>
    <row r="36" spans="1:5" ht="17.25" customHeight="1" thickBot="1" x14ac:dyDescent="0.45">
      <c r="A36" s="79" t="s">
        <v>75</v>
      </c>
      <c r="B36" s="88">
        <f>SUM(B34:B35)</f>
        <v>1383.1088186367788</v>
      </c>
      <c r="C36" s="88">
        <f t="shared" ref="C36:E36" si="2">SUM(C34:C35)</f>
        <v>1608.0000000000018</v>
      </c>
      <c r="D36" s="88">
        <f t="shared" si="2"/>
        <v>1286.3999999999951</v>
      </c>
      <c r="E36" s="88">
        <f t="shared" si="2"/>
        <v>-24.715092092979376</v>
      </c>
    </row>
    <row r="37" spans="1:5" ht="17.25" customHeight="1" thickTop="1" x14ac:dyDescent="0.4"/>
  </sheetData>
  <pageMargins left="0.7" right="0.7" top="0.75" bottom="0.75" header="0.3" footer="0.3"/>
  <pageSetup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8F686-7E9B-4F83-BAA5-FCA6B4B5525F}">
  <dimension ref="A2:U41"/>
  <sheetViews>
    <sheetView showGridLines="0" zoomScale="85" zoomScaleNormal="85" workbookViewId="0">
      <selection activeCell="B3" sqref="B3"/>
    </sheetView>
  </sheetViews>
  <sheetFormatPr defaultColWidth="9.15234375" defaultRowHeight="18" customHeight="1" x14ac:dyDescent="0.4"/>
  <cols>
    <col min="1" max="1" width="9.15234375" style="5"/>
    <col min="2" max="2" width="24.84375" style="5" customWidth="1"/>
    <col min="3" max="14" width="11.53515625" style="5" customWidth="1"/>
    <col min="15" max="16" width="9.15234375" style="5"/>
    <col min="17" max="21" width="9.15234375" style="5" hidden="1" customWidth="1"/>
    <col min="22" max="16384" width="9.15234375" style="5"/>
  </cols>
  <sheetData>
    <row r="2" spans="1:21" ht="18" customHeight="1" x14ac:dyDescent="0.4">
      <c r="A2" s="1" t="str">
        <f>company_name</f>
        <v>QuickDash</v>
      </c>
      <c r="J2" s="89">
        <f>J7</f>
        <v>2015</v>
      </c>
      <c r="K2" s="89">
        <f>K7</f>
        <v>2016</v>
      </c>
      <c r="L2" s="89">
        <f>L7</f>
        <v>2017</v>
      </c>
      <c r="M2" s="89">
        <f>M7</f>
        <v>2018</v>
      </c>
      <c r="N2" s="89" t="str">
        <f>N7</f>
        <v>2019E</v>
      </c>
      <c r="T2" s="5">
        <v>50</v>
      </c>
      <c r="U2" s="16">
        <f ca="1">RAND()/$T$2-(1/$T$2)/2</f>
        <v>-5.605545636843139E-3</v>
      </c>
    </row>
    <row r="3" spans="1:21" ht="18" customHeight="1" x14ac:dyDescent="0.4">
      <c r="A3" t="s">
        <v>76</v>
      </c>
      <c r="I3" t="s">
        <v>77</v>
      </c>
      <c r="J3" s="5">
        <v>20</v>
      </c>
      <c r="K3" s="5">
        <v>25</v>
      </c>
      <c r="L3" s="5">
        <v>30</v>
      </c>
      <c r="M3">
        <v>35</v>
      </c>
      <c r="N3" s="90">
        <v>40</v>
      </c>
    </row>
    <row r="5" spans="1:21" ht="18" customHeight="1" x14ac:dyDescent="0.4">
      <c r="A5" s="1"/>
      <c r="B5" s="1"/>
      <c r="C5" s="91" t="s">
        <v>78</v>
      </c>
      <c r="D5" s="91"/>
      <c r="E5" s="91"/>
      <c r="F5" s="91"/>
      <c r="G5" s="91"/>
      <c r="H5" s="1"/>
      <c r="I5" s="1"/>
      <c r="J5" s="91" t="s">
        <v>79</v>
      </c>
      <c r="K5" s="91"/>
      <c r="L5" s="91"/>
      <c r="M5" s="91"/>
      <c r="N5" s="91"/>
    </row>
    <row r="6" spans="1:21" ht="18" customHeight="1" x14ac:dyDescent="0.4">
      <c r="A6" s="1"/>
      <c r="B6" s="1"/>
      <c r="C6" s="92"/>
      <c r="D6" s="92"/>
      <c r="E6" s="92"/>
      <c r="F6" s="92"/>
      <c r="G6" s="92"/>
      <c r="H6" s="1"/>
      <c r="I6" s="1"/>
      <c r="J6" s="92"/>
      <c r="K6" s="92"/>
      <c r="L6" s="92"/>
      <c r="M6" s="92"/>
      <c r="N6" s="92"/>
    </row>
    <row r="7" spans="1:21" ht="18" customHeight="1" x14ac:dyDescent="0.4">
      <c r="A7" s="93" t="s">
        <v>80</v>
      </c>
      <c r="B7" s="94" t="s">
        <v>81</v>
      </c>
      <c r="C7" s="89">
        <f>start</f>
        <v>2015</v>
      </c>
      <c r="D7" s="89">
        <f>C7+1</f>
        <v>2016</v>
      </c>
      <c r="E7" s="89">
        <f>D7+1</f>
        <v>2017</v>
      </c>
      <c r="F7" s="89">
        <f>E7+1</f>
        <v>2018</v>
      </c>
      <c r="G7" s="89" t="str">
        <f>IS!F6</f>
        <v>2019E</v>
      </c>
      <c r="H7" s="95" t="s">
        <v>82</v>
      </c>
      <c r="I7" s="94"/>
      <c r="J7" s="89">
        <f>C7</f>
        <v>2015</v>
      </c>
      <c r="K7" s="89">
        <f t="shared" ref="K7:N7" si="0">D7</f>
        <v>2016</v>
      </c>
      <c r="L7" s="89">
        <f t="shared" si="0"/>
        <v>2017</v>
      </c>
      <c r="M7" s="89">
        <f t="shared" si="0"/>
        <v>2018</v>
      </c>
      <c r="N7" s="89" t="str">
        <f t="shared" si="0"/>
        <v>2019E</v>
      </c>
      <c r="Q7" s="89">
        <f>start</f>
        <v>2015</v>
      </c>
      <c r="R7" s="89">
        <f>Q7+1</f>
        <v>2016</v>
      </c>
      <c r="S7" s="89">
        <f>R7+1</f>
        <v>2017</v>
      </c>
      <c r="T7" s="89">
        <f>S7+1</f>
        <v>2018</v>
      </c>
      <c r="U7" s="96" t="s">
        <v>83</v>
      </c>
    </row>
    <row r="8" spans="1:21" ht="18" customHeight="1" x14ac:dyDescent="0.4">
      <c r="A8" s="7">
        <v>1</v>
      </c>
      <c r="B8" s="97" t="s">
        <v>91</v>
      </c>
      <c r="C8" s="98">
        <v>11381</v>
      </c>
      <c r="D8" s="98">
        <v>12921</v>
      </c>
      <c r="E8" s="98">
        <v>14752</v>
      </c>
      <c r="F8" s="98">
        <v>16804</v>
      </c>
      <c r="G8" s="99">
        <v>19000</v>
      </c>
      <c r="H8" s="16">
        <v>0.14049026928180042</v>
      </c>
      <c r="I8" s="97"/>
      <c r="J8" s="100">
        <f t="shared" ref="J8:M17" si="1">C8*J$3/1000</f>
        <v>227.62</v>
      </c>
      <c r="K8" s="100">
        <f t="shared" si="1"/>
        <v>323.02499999999998</v>
      </c>
      <c r="L8" s="100">
        <f t="shared" si="1"/>
        <v>442.56</v>
      </c>
      <c r="M8" s="100">
        <f>F8*M$3/1000</f>
        <v>588.14</v>
      </c>
      <c r="N8" s="100">
        <f t="shared" ref="N8:N25" si="2">N$3*G8/1000</f>
        <v>760</v>
      </c>
      <c r="O8" s="101"/>
      <c r="Q8" s="16">
        <v>-5.136804906162056E-3</v>
      </c>
      <c r="R8" s="16">
        <v>1.1784717584584874E-3</v>
      </c>
      <c r="S8" s="16">
        <v>-1.37958776504769E-3</v>
      </c>
      <c r="T8" s="16">
        <v>0</v>
      </c>
      <c r="U8" s="16">
        <v>0.14049026928180042</v>
      </c>
    </row>
    <row r="9" spans="1:21" ht="18" customHeight="1" x14ac:dyDescent="0.4">
      <c r="A9" s="7">
        <v>2</v>
      </c>
      <c r="B9" s="97" t="s">
        <v>92</v>
      </c>
      <c r="C9" s="98">
        <v>202037</v>
      </c>
      <c r="D9" s="98">
        <v>211493</v>
      </c>
      <c r="E9" s="98">
        <v>222834</v>
      </c>
      <c r="F9" s="98">
        <v>234900</v>
      </c>
      <c r="G9" s="99">
        <v>246989</v>
      </c>
      <c r="H9" s="16">
        <v>4.5296323130928573E-2</v>
      </c>
      <c r="I9" s="97"/>
      <c r="J9" s="100">
        <f t="shared" si="1"/>
        <v>4040.74</v>
      </c>
      <c r="K9" s="100">
        <f t="shared" si="1"/>
        <v>5287.3249999999998</v>
      </c>
      <c r="L9" s="100">
        <f t="shared" si="1"/>
        <v>6685.02</v>
      </c>
      <c r="M9" s="100">
        <f t="shared" si="1"/>
        <v>8221.5</v>
      </c>
      <c r="N9" s="100">
        <f t="shared" si="2"/>
        <v>9879.56</v>
      </c>
      <c r="Q9" s="16">
        <v>1.5074983324834413E-3</v>
      </c>
      <c r="R9" s="16">
        <v>8.3266831330100748E-3</v>
      </c>
      <c r="S9" s="16">
        <v>8.8516061996550769E-3</v>
      </c>
      <c r="T9" s="16">
        <v>0</v>
      </c>
      <c r="U9" s="16">
        <v>4.5296323130928573E-2</v>
      </c>
    </row>
    <row r="10" spans="1:21" ht="18" customHeight="1" x14ac:dyDescent="0.4">
      <c r="A10" s="7">
        <v>3</v>
      </c>
      <c r="B10" s="97" t="s">
        <v>93</v>
      </c>
      <c r="C10" s="98">
        <v>411540</v>
      </c>
      <c r="D10" s="98">
        <v>407619</v>
      </c>
      <c r="E10" s="98">
        <v>401223</v>
      </c>
      <c r="F10" s="98">
        <v>400108</v>
      </c>
      <c r="G10" s="99">
        <v>399000</v>
      </c>
      <c r="H10" s="16">
        <v>-7.9069413951220469E-3</v>
      </c>
      <c r="I10" s="97"/>
      <c r="J10" s="100">
        <f t="shared" si="1"/>
        <v>8230.7999999999993</v>
      </c>
      <c r="K10" s="100">
        <f t="shared" si="1"/>
        <v>10190.475</v>
      </c>
      <c r="L10" s="100">
        <f t="shared" si="1"/>
        <v>12036.69</v>
      </c>
      <c r="M10" s="100">
        <f t="shared" si="1"/>
        <v>14003.78</v>
      </c>
      <c r="N10" s="100">
        <f t="shared" si="2"/>
        <v>15960</v>
      </c>
      <c r="Q10" s="16">
        <v>-1.6218002346652712E-3</v>
      </c>
      <c r="R10" s="16">
        <v>-7.7838704402957044E-3</v>
      </c>
      <c r="S10" s="16">
        <v>5.1279970570709838E-3</v>
      </c>
      <c r="T10" s="16">
        <v>0</v>
      </c>
      <c r="U10" s="16">
        <v>-7.9069413951220469E-3</v>
      </c>
    </row>
    <row r="11" spans="1:21" ht="18" customHeight="1" x14ac:dyDescent="0.4">
      <c r="A11" s="7">
        <v>4</v>
      </c>
      <c r="B11" s="97" t="s">
        <v>94</v>
      </c>
      <c r="C11" s="98">
        <v>23148</v>
      </c>
      <c r="D11" s="98">
        <v>24140</v>
      </c>
      <c r="E11" s="98">
        <v>24854</v>
      </c>
      <c r="F11" s="98">
        <v>25630</v>
      </c>
      <c r="G11" s="99">
        <v>26350</v>
      </c>
      <c r="H11" s="16">
        <v>3.3634127426661276E-2</v>
      </c>
      <c r="I11" s="97"/>
      <c r="J11" s="100">
        <f t="shared" si="1"/>
        <v>462.96</v>
      </c>
      <c r="K11" s="100">
        <f t="shared" si="1"/>
        <v>603.5</v>
      </c>
      <c r="L11" s="100">
        <f t="shared" si="1"/>
        <v>745.62</v>
      </c>
      <c r="M11" s="100">
        <f t="shared" si="1"/>
        <v>897.05</v>
      </c>
      <c r="N11" s="100">
        <f t="shared" si="2"/>
        <v>1054</v>
      </c>
      <c r="Q11" s="16">
        <v>9.2086617073295334E-3</v>
      </c>
      <c r="R11" s="16">
        <v>-4.0576710117878629E-3</v>
      </c>
      <c r="S11" s="16">
        <v>-2.4098582235733291E-3</v>
      </c>
      <c r="T11" s="16">
        <v>0</v>
      </c>
      <c r="U11" s="16">
        <v>3.3634127426661276E-2</v>
      </c>
    </row>
    <row r="12" spans="1:21" ht="18" customHeight="1" x14ac:dyDescent="0.4">
      <c r="A12" s="7">
        <v>5</v>
      </c>
      <c r="B12" s="97" t="s">
        <v>95</v>
      </c>
      <c r="C12" s="98">
        <v>13671</v>
      </c>
      <c r="D12" s="98">
        <v>14014</v>
      </c>
      <c r="E12" s="98">
        <v>14355</v>
      </c>
      <c r="F12" s="98">
        <v>14751</v>
      </c>
      <c r="G12" s="99">
        <v>15000</v>
      </c>
      <c r="H12" s="16">
        <v>2.2477021816365905E-2</v>
      </c>
      <c r="I12" s="97"/>
      <c r="J12" s="100">
        <f t="shared" si="1"/>
        <v>273.42</v>
      </c>
      <c r="K12" s="100">
        <f t="shared" si="1"/>
        <v>350.35</v>
      </c>
      <c r="L12" s="100">
        <f t="shared" si="1"/>
        <v>430.65</v>
      </c>
      <c r="M12" s="100">
        <f t="shared" si="1"/>
        <v>516.28499999999997</v>
      </c>
      <c r="N12" s="100">
        <f t="shared" si="2"/>
        <v>600</v>
      </c>
      <c r="Q12" s="16">
        <v>2.6440079512263827E-3</v>
      </c>
      <c r="R12" s="16">
        <v>1.8465252021992156E-3</v>
      </c>
      <c r="S12" s="16">
        <v>5.1068965794800174E-3</v>
      </c>
      <c r="T12" s="16">
        <v>0</v>
      </c>
      <c r="U12" s="16">
        <v>2.2477021816365905E-2</v>
      </c>
    </row>
    <row r="13" spans="1:21" ht="18" customHeight="1" x14ac:dyDescent="0.4">
      <c r="A13" s="7">
        <v>6</v>
      </c>
      <c r="B13" s="97" t="s">
        <v>96</v>
      </c>
      <c r="C13" s="98">
        <v>51734</v>
      </c>
      <c r="D13" s="98">
        <v>54099</v>
      </c>
      <c r="E13" s="98">
        <v>57447</v>
      </c>
      <c r="F13" s="98">
        <v>61018</v>
      </c>
      <c r="G13" s="99">
        <v>64750</v>
      </c>
      <c r="H13" s="16">
        <v>5.34942554630361E-2</v>
      </c>
      <c r="I13" s="97"/>
      <c r="J13" s="100">
        <f t="shared" si="1"/>
        <v>1034.68</v>
      </c>
      <c r="K13" s="100">
        <f t="shared" si="1"/>
        <v>1352.4749999999999</v>
      </c>
      <c r="L13" s="100">
        <f t="shared" si="1"/>
        <v>1723.41</v>
      </c>
      <c r="M13" s="100">
        <f t="shared" si="1"/>
        <v>2135.63</v>
      </c>
      <c r="N13" s="100">
        <f t="shared" si="2"/>
        <v>2590</v>
      </c>
      <c r="Q13" s="16">
        <v>-7.7833492121677653E-3</v>
      </c>
      <c r="R13" s="16">
        <v>8.3947254744535255E-3</v>
      </c>
      <c r="S13" s="16">
        <v>8.6763039643652871E-3</v>
      </c>
      <c r="T13" s="16">
        <v>0</v>
      </c>
      <c r="U13" s="16">
        <v>5.34942554630361E-2</v>
      </c>
    </row>
    <row r="14" spans="1:21" ht="18" customHeight="1" x14ac:dyDescent="0.4">
      <c r="A14" s="7">
        <v>7</v>
      </c>
      <c r="B14" s="97" t="s">
        <v>97</v>
      </c>
      <c r="C14" s="98">
        <v>173388</v>
      </c>
      <c r="D14" s="98">
        <v>184906</v>
      </c>
      <c r="E14" s="98">
        <v>196847</v>
      </c>
      <c r="F14" s="98">
        <v>210305</v>
      </c>
      <c r="G14" s="99">
        <v>224440</v>
      </c>
      <c r="H14" s="16">
        <v>6.3712839516921194E-2</v>
      </c>
      <c r="I14" s="97"/>
      <c r="J14" s="100">
        <f t="shared" si="1"/>
        <v>3467.76</v>
      </c>
      <c r="K14" s="100">
        <f t="shared" si="1"/>
        <v>4622.6499999999996</v>
      </c>
      <c r="L14" s="100">
        <f t="shared" si="1"/>
        <v>5905.41</v>
      </c>
      <c r="M14" s="100">
        <f t="shared" si="1"/>
        <v>7360.6750000000002</v>
      </c>
      <c r="N14" s="100">
        <f t="shared" si="2"/>
        <v>8977.6</v>
      </c>
      <c r="Q14" s="16">
        <v>2.7153544234828457E-3</v>
      </c>
      <c r="R14" s="16">
        <v>8.645640975555053E-4</v>
      </c>
      <c r="S14" s="16">
        <v>4.6528300057941535E-3</v>
      </c>
      <c r="T14" s="16">
        <v>0</v>
      </c>
      <c r="U14" s="16">
        <v>6.3712839516921194E-2</v>
      </c>
    </row>
    <row r="15" spans="1:21" ht="18" customHeight="1" x14ac:dyDescent="0.4">
      <c r="A15" s="7">
        <v>8</v>
      </c>
      <c r="B15" s="97" t="s">
        <v>98</v>
      </c>
      <c r="C15" s="98">
        <v>22891</v>
      </c>
      <c r="D15" s="98">
        <v>24608</v>
      </c>
      <c r="E15" s="98">
        <v>26430</v>
      </c>
      <c r="F15" s="98">
        <v>28354</v>
      </c>
      <c r="G15" s="99">
        <v>30800</v>
      </c>
      <c r="H15" s="16">
        <v>7.8032071368637546E-2</v>
      </c>
      <c r="I15" s="97"/>
      <c r="J15" s="100">
        <f t="shared" si="1"/>
        <v>457.82</v>
      </c>
      <c r="K15" s="100">
        <f t="shared" si="1"/>
        <v>615.20000000000005</v>
      </c>
      <c r="L15" s="100">
        <f t="shared" si="1"/>
        <v>792.9</v>
      </c>
      <c r="M15" s="100">
        <f t="shared" si="1"/>
        <v>992.39</v>
      </c>
      <c r="N15" s="100">
        <f t="shared" si="2"/>
        <v>1232</v>
      </c>
      <c r="Q15" s="16">
        <v>-3.0297979973953337E-3</v>
      </c>
      <c r="R15" s="16">
        <v>-3.9745223418227015E-3</v>
      </c>
      <c r="S15" s="16">
        <v>-5.2208011789155757E-3</v>
      </c>
      <c r="T15" s="16">
        <v>0</v>
      </c>
      <c r="U15" s="16">
        <v>7.8032071368637546E-2</v>
      </c>
    </row>
    <row r="16" spans="1:21" ht="18" customHeight="1" x14ac:dyDescent="0.4">
      <c r="A16" s="7">
        <v>9</v>
      </c>
      <c r="B16" s="97" t="s">
        <v>99</v>
      </c>
      <c r="C16" s="98">
        <v>16425</v>
      </c>
      <c r="D16" s="98">
        <v>16117</v>
      </c>
      <c r="E16" s="98">
        <v>15718</v>
      </c>
      <c r="F16" s="98">
        <v>15297</v>
      </c>
      <c r="G16" s="99">
        <v>15000</v>
      </c>
      <c r="H16" s="16">
        <v>-2.5519161568064774E-2</v>
      </c>
      <c r="I16" s="97"/>
      <c r="J16" s="100">
        <f t="shared" si="1"/>
        <v>328.5</v>
      </c>
      <c r="K16" s="100">
        <f t="shared" si="1"/>
        <v>402.92500000000001</v>
      </c>
      <c r="L16" s="100">
        <f t="shared" si="1"/>
        <v>471.54</v>
      </c>
      <c r="M16" s="100">
        <f t="shared" si="1"/>
        <v>535.39499999999998</v>
      </c>
      <c r="N16" s="100">
        <f t="shared" si="2"/>
        <v>600</v>
      </c>
      <c r="Q16" s="16">
        <v>6.7479663942160099E-3</v>
      </c>
      <c r="R16" s="16">
        <v>7.3967223613323647E-4</v>
      </c>
      <c r="S16" s="16">
        <v>-1.2617296762995108E-3</v>
      </c>
      <c r="T16" s="16">
        <v>0</v>
      </c>
      <c r="U16" s="16">
        <v>-2.5519161568064774E-2</v>
      </c>
    </row>
    <row r="17" spans="1:21" ht="18" customHeight="1" x14ac:dyDescent="0.4">
      <c r="A17" s="7">
        <v>10</v>
      </c>
      <c r="B17" s="97" t="s">
        <v>100</v>
      </c>
      <c r="C17" s="98">
        <v>40499</v>
      </c>
      <c r="D17" s="98">
        <v>44476</v>
      </c>
      <c r="E17" s="98">
        <v>48279</v>
      </c>
      <c r="F17" s="98">
        <v>53260</v>
      </c>
      <c r="G17" s="99">
        <v>58125</v>
      </c>
      <c r="H17" s="16">
        <v>9.4492601092976747E-2</v>
      </c>
      <c r="I17" s="97"/>
      <c r="J17" s="100">
        <f t="shared" si="1"/>
        <v>809.98</v>
      </c>
      <c r="K17" s="100">
        <f t="shared" si="1"/>
        <v>1111.9000000000001</v>
      </c>
      <c r="L17" s="100">
        <f t="shared" si="1"/>
        <v>1448.37</v>
      </c>
      <c r="M17" s="100">
        <f t="shared" si="1"/>
        <v>1864.1</v>
      </c>
      <c r="N17" s="100">
        <f t="shared" si="2"/>
        <v>2325</v>
      </c>
      <c r="Q17" s="16">
        <v>3.6960415595444843E-3</v>
      </c>
      <c r="R17" s="16">
        <v>-8.996413133257353E-3</v>
      </c>
      <c r="S17" s="16">
        <v>8.6801003092527706E-3</v>
      </c>
      <c r="T17" s="16">
        <v>0</v>
      </c>
      <c r="U17" s="16">
        <v>9.4492601092976747E-2</v>
      </c>
    </row>
    <row r="18" spans="1:21" ht="18" customHeight="1" thickBot="1" x14ac:dyDescent="0.45">
      <c r="A18" s="7"/>
      <c r="B18" s="79" t="s">
        <v>84</v>
      </c>
      <c r="C18" s="102">
        <f>SUM(C8:C17)</f>
        <v>966714</v>
      </c>
      <c r="D18" s="102">
        <f t="shared" ref="D18:G18" si="3">SUM(D8:D17)</f>
        <v>994393</v>
      </c>
      <c r="E18" s="102">
        <f t="shared" si="3"/>
        <v>1022739</v>
      </c>
      <c r="F18" s="102">
        <f t="shared" si="3"/>
        <v>1060427</v>
      </c>
      <c r="G18" s="102">
        <f t="shared" si="3"/>
        <v>1099454</v>
      </c>
      <c r="H18" s="37">
        <f>G18/F18-1</f>
        <v>3.6803099128935868E-2</v>
      </c>
      <c r="I18" s="97"/>
      <c r="J18" s="103">
        <f>SUM(J8:J17)</f>
        <v>19334.28</v>
      </c>
      <c r="K18" s="103">
        <f t="shared" ref="K18:N18" si="4">SUM(K8:K17)</f>
        <v>24859.824999999997</v>
      </c>
      <c r="L18" s="103">
        <f t="shared" si="4"/>
        <v>30682.170000000002</v>
      </c>
      <c r="M18" s="103">
        <f t="shared" si="4"/>
        <v>37114.944999999992</v>
      </c>
      <c r="N18" s="103">
        <f t="shared" si="4"/>
        <v>43978.159999999996</v>
      </c>
      <c r="Q18" s="16"/>
    </row>
    <row r="19" spans="1:21" ht="18" customHeight="1" thickTop="1" x14ac:dyDescent="0.4">
      <c r="A19" s="7"/>
      <c r="B19" s="97"/>
      <c r="C19" s="98"/>
      <c r="D19" s="98"/>
      <c r="E19" s="98"/>
      <c r="F19" s="98"/>
      <c r="G19" s="99"/>
      <c r="H19" s="16"/>
      <c r="I19" s="97"/>
      <c r="J19" s="100"/>
      <c r="K19" s="100"/>
      <c r="L19" s="100"/>
      <c r="M19" s="100"/>
      <c r="N19" s="100"/>
      <c r="Q19" s="16"/>
    </row>
    <row r="20" spans="1:21" ht="18" customHeight="1" x14ac:dyDescent="0.4">
      <c r="A20" s="7"/>
      <c r="B20" s="97"/>
      <c r="C20" s="98"/>
      <c r="D20" s="98"/>
      <c r="E20" s="98"/>
      <c r="F20" s="98"/>
      <c r="G20" s="99"/>
      <c r="H20" s="16"/>
      <c r="I20" s="97"/>
      <c r="J20" s="100"/>
      <c r="K20" s="100"/>
      <c r="L20" s="100"/>
      <c r="M20" s="100"/>
      <c r="N20" s="100"/>
      <c r="Q20" s="16"/>
    </row>
    <row r="21" spans="1:21" ht="18" customHeight="1" x14ac:dyDescent="0.4">
      <c r="A21" s="7">
        <v>11</v>
      </c>
      <c r="B21" s="97" t="s">
        <v>101</v>
      </c>
      <c r="C21" s="98">
        <v>0</v>
      </c>
      <c r="D21" s="98">
        <v>0</v>
      </c>
      <c r="E21" s="98">
        <v>0</v>
      </c>
      <c r="F21" s="98">
        <v>0</v>
      </c>
      <c r="G21" s="99">
        <v>0</v>
      </c>
      <c r="H21" s="104" t="s">
        <v>13</v>
      </c>
      <c r="I21" s="97"/>
      <c r="J21" s="98">
        <v>0</v>
      </c>
      <c r="K21" s="98">
        <v>0</v>
      </c>
      <c r="L21" s="98">
        <v>0</v>
      </c>
      <c r="M21" s="98">
        <v>0</v>
      </c>
      <c r="N21" s="100">
        <f t="shared" si="2"/>
        <v>0</v>
      </c>
      <c r="Q21" s="16"/>
    </row>
    <row r="22" spans="1:21" ht="18" customHeight="1" x14ac:dyDescent="0.4">
      <c r="A22" s="7">
        <v>12</v>
      </c>
      <c r="B22" s="97" t="s">
        <v>102</v>
      </c>
      <c r="C22" s="98">
        <v>0</v>
      </c>
      <c r="D22" s="98">
        <v>0</v>
      </c>
      <c r="E22" s="98">
        <v>0</v>
      </c>
      <c r="F22" s="98">
        <v>0</v>
      </c>
      <c r="G22" s="99">
        <v>0</v>
      </c>
      <c r="H22" s="104" t="s">
        <v>13</v>
      </c>
      <c r="I22" s="97"/>
      <c r="J22" s="98">
        <v>0</v>
      </c>
      <c r="K22" s="98">
        <v>0</v>
      </c>
      <c r="L22" s="98">
        <v>0</v>
      </c>
      <c r="M22" s="98">
        <v>0</v>
      </c>
      <c r="N22" s="100">
        <f t="shared" si="2"/>
        <v>0</v>
      </c>
      <c r="Q22" s="16"/>
    </row>
    <row r="23" spans="1:21" ht="18" customHeight="1" x14ac:dyDescent="0.4">
      <c r="A23" s="7">
        <v>13</v>
      </c>
      <c r="B23" s="97" t="s">
        <v>103</v>
      </c>
      <c r="C23" s="98">
        <v>0</v>
      </c>
      <c r="D23" s="98">
        <v>0</v>
      </c>
      <c r="E23" s="98">
        <v>0</v>
      </c>
      <c r="F23" s="98">
        <v>0</v>
      </c>
      <c r="G23" s="99">
        <v>0</v>
      </c>
      <c r="H23" s="104" t="s">
        <v>13</v>
      </c>
      <c r="I23" s="97"/>
      <c r="J23" s="98">
        <v>0</v>
      </c>
      <c r="K23" s="98">
        <v>0</v>
      </c>
      <c r="L23" s="98">
        <v>0</v>
      </c>
      <c r="M23" s="98">
        <v>0</v>
      </c>
      <c r="N23" s="100">
        <f t="shared" si="2"/>
        <v>0</v>
      </c>
      <c r="Q23" s="16"/>
    </row>
    <row r="24" spans="1:21" ht="18" customHeight="1" x14ac:dyDescent="0.4">
      <c r="A24" s="7">
        <v>14</v>
      </c>
      <c r="B24" s="97" t="s">
        <v>104</v>
      </c>
      <c r="C24" s="98">
        <v>0</v>
      </c>
      <c r="D24" s="98">
        <v>0</v>
      </c>
      <c r="E24" s="98">
        <v>0</v>
      </c>
      <c r="F24" s="98">
        <v>0</v>
      </c>
      <c r="G24" s="99">
        <v>0</v>
      </c>
      <c r="H24" s="104" t="s">
        <v>13</v>
      </c>
      <c r="I24" s="97"/>
      <c r="J24" s="98">
        <v>0</v>
      </c>
      <c r="K24" s="98">
        <v>0</v>
      </c>
      <c r="L24" s="98">
        <v>0</v>
      </c>
      <c r="M24" s="98">
        <v>0</v>
      </c>
      <c r="N24" s="100">
        <f t="shared" si="2"/>
        <v>0</v>
      </c>
      <c r="Q24" s="16"/>
    </row>
    <row r="25" spans="1:21" ht="18" customHeight="1" x14ac:dyDescent="0.4">
      <c r="A25" s="7">
        <v>15</v>
      </c>
      <c r="B25" s="97" t="s">
        <v>105</v>
      </c>
      <c r="C25" s="98">
        <v>0</v>
      </c>
      <c r="D25" s="98">
        <v>0</v>
      </c>
      <c r="E25" s="98">
        <v>0</v>
      </c>
      <c r="F25" s="98">
        <v>0</v>
      </c>
      <c r="G25" s="99">
        <v>0</v>
      </c>
      <c r="H25" s="104" t="s">
        <v>13</v>
      </c>
      <c r="I25" s="97"/>
      <c r="J25" s="98">
        <v>0</v>
      </c>
      <c r="K25" s="98">
        <v>0</v>
      </c>
      <c r="L25" s="98">
        <v>0</v>
      </c>
      <c r="M25" s="98">
        <v>0</v>
      </c>
      <c r="N25" s="100">
        <f t="shared" si="2"/>
        <v>0</v>
      </c>
      <c r="Q25" s="16"/>
    </row>
    <row r="26" spans="1:21" ht="18" customHeight="1" thickBot="1" x14ac:dyDescent="0.45">
      <c r="B26" s="79" t="s">
        <v>84</v>
      </c>
      <c r="C26" s="102">
        <f>SUM(C18:C25)</f>
        <v>966714</v>
      </c>
      <c r="D26" s="102">
        <f t="shared" ref="D26:G26" si="5">SUM(D18:D25)</f>
        <v>994393</v>
      </c>
      <c r="E26" s="102">
        <f t="shared" si="5"/>
        <v>1022739</v>
      </c>
      <c r="F26" s="102">
        <f t="shared" si="5"/>
        <v>1060427</v>
      </c>
      <c r="G26" s="102">
        <f t="shared" si="5"/>
        <v>1099454</v>
      </c>
      <c r="H26" s="37">
        <f>G26/F26-1</f>
        <v>3.6803099128935868E-2</v>
      </c>
      <c r="I26" s="79"/>
      <c r="J26" s="105">
        <f>SUM(J18:J25)</f>
        <v>19334.28</v>
      </c>
      <c r="K26" s="105">
        <f>SUM(K18:K25)</f>
        <v>24859.824999999997</v>
      </c>
      <c r="L26" s="105">
        <f>SUM(L18:L25)</f>
        <v>30682.170000000002</v>
      </c>
      <c r="M26" s="105">
        <f>SUM(M18:M25)</f>
        <v>37114.944999999992</v>
      </c>
      <c r="N26" s="105">
        <f>SUM(N18:N25)</f>
        <v>43978.159999999996</v>
      </c>
      <c r="Q26" s="16"/>
    </row>
    <row r="27" spans="1:21" ht="18" customHeight="1" thickTop="1" x14ac:dyDescent="0.4">
      <c r="Q27" s="16"/>
    </row>
    <row r="28" spans="1:21" ht="18" customHeight="1" x14ac:dyDescent="0.4">
      <c r="Q28" s="16"/>
    </row>
    <row r="29" spans="1:21" ht="18" customHeight="1" x14ac:dyDescent="0.4">
      <c r="F29" s="98"/>
      <c r="Q29" s="16"/>
    </row>
    <row r="30" spans="1:21" ht="18" customHeight="1" x14ac:dyDescent="0.4">
      <c r="Q30" s="16"/>
    </row>
    <row r="31" spans="1:21" ht="18" customHeight="1" x14ac:dyDescent="0.4">
      <c r="Q31" s="16"/>
    </row>
    <row r="32" spans="1:21" ht="18" customHeight="1" x14ac:dyDescent="0.4">
      <c r="Q32" s="16"/>
    </row>
    <row r="33" spans="17:17" ht="18" customHeight="1" x14ac:dyDescent="0.4">
      <c r="Q33" s="16"/>
    </row>
    <row r="34" spans="17:17" ht="18" customHeight="1" x14ac:dyDescent="0.4">
      <c r="Q34" s="16"/>
    </row>
    <row r="35" spans="17:17" ht="18" customHeight="1" x14ac:dyDescent="0.4">
      <c r="Q35" s="16"/>
    </row>
    <row r="36" spans="17:17" ht="18" customHeight="1" x14ac:dyDescent="0.4">
      <c r="Q36" s="16"/>
    </row>
    <row r="37" spans="17:17" ht="18" customHeight="1" x14ac:dyDescent="0.4">
      <c r="Q37" s="16"/>
    </row>
    <row r="38" spans="17:17" ht="18" customHeight="1" x14ac:dyDescent="0.4">
      <c r="Q38" s="16"/>
    </row>
    <row r="39" spans="17:17" ht="18" customHeight="1" x14ac:dyDescent="0.4">
      <c r="Q39" s="16"/>
    </row>
    <row r="40" spans="17:17" ht="18" customHeight="1" x14ac:dyDescent="0.4">
      <c r="Q40" s="16"/>
    </row>
    <row r="41" spans="17:17" ht="18" customHeight="1" x14ac:dyDescent="0.4">
      <c r="Q41" s="25"/>
    </row>
  </sheetData>
  <mergeCells count="2">
    <mergeCell ref="C5:G5"/>
    <mergeCell ref="J5:N5"/>
  </mergeCells>
  <pageMargins left="0.7" right="0.7" top="0.75" bottom="0.75" header="0.3" footer="0.3"/>
  <pageSetup scale="77"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7DB88-4E30-43A5-9B69-640CCD483716}">
  <dimension ref="A1:Q25"/>
  <sheetViews>
    <sheetView showGridLines="0" zoomScale="85" zoomScaleNormal="85" workbookViewId="0">
      <selection activeCell="B3" sqref="B3"/>
    </sheetView>
  </sheetViews>
  <sheetFormatPr defaultColWidth="9.15234375" defaultRowHeight="18" customHeight="1" x14ac:dyDescent="0.4"/>
  <cols>
    <col min="3" max="3" width="27.15234375" customWidth="1"/>
    <col min="17" max="17" width="9" customWidth="1"/>
  </cols>
  <sheetData>
    <row r="1" spans="1:17" ht="18" customHeight="1" x14ac:dyDescent="0.4">
      <c r="A1" s="5"/>
      <c r="B1" s="7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18" customHeight="1" x14ac:dyDescent="0.4">
      <c r="A2" s="1" t="str">
        <f>company_name</f>
        <v>QuickDash</v>
      </c>
      <c r="B2" s="7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8" customHeight="1" x14ac:dyDescent="0.4">
      <c r="A3" s="5" t="s">
        <v>85</v>
      </c>
      <c r="B3" s="7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18" customHeight="1" x14ac:dyDescent="0.4">
      <c r="A4" s="5"/>
      <c r="B4" s="7"/>
      <c r="C4" s="5"/>
      <c r="D4" s="5"/>
      <c r="E4" s="91" t="s">
        <v>86</v>
      </c>
      <c r="F4" s="91"/>
      <c r="G4" s="91"/>
      <c r="H4" s="91"/>
      <c r="I4" s="91"/>
      <c r="J4" s="5"/>
      <c r="K4" s="5"/>
      <c r="L4" s="91" t="s">
        <v>87</v>
      </c>
      <c r="M4" s="91"/>
      <c r="N4" s="91"/>
      <c r="O4" s="91"/>
      <c r="P4" s="91"/>
      <c r="Q4" s="5"/>
    </row>
    <row r="5" spans="1:17" ht="18" customHeight="1" x14ac:dyDescent="0.4">
      <c r="A5" s="1"/>
      <c r="B5" s="92"/>
      <c r="C5" s="1"/>
      <c r="I5" s="92"/>
      <c r="J5" s="1"/>
      <c r="K5" s="1"/>
      <c r="L5" s="92"/>
      <c r="M5" s="92"/>
      <c r="N5" s="92"/>
      <c r="O5" s="92"/>
      <c r="P5" s="92"/>
      <c r="Q5" s="1" t="s">
        <v>87</v>
      </c>
    </row>
    <row r="6" spans="1:17" ht="18" customHeight="1" x14ac:dyDescent="0.4">
      <c r="A6" s="93" t="s">
        <v>80</v>
      </c>
      <c r="B6" s="93" t="s">
        <v>88</v>
      </c>
      <c r="C6" s="94" t="s">
        <v>81</v>
      </c>
      <c r="D6" s="94"/>
      <c r="E6" s="89">
        <f>'Revenue '!C7</f>
        <v>2015</v>
      </c>
      <c r="F6" s="89">
        <f>'Revenue '!D7</f>
        <v>2016</v>
      </c>
      <c r="G6" s="89">
        <f>'Revenue '!E7</f>
        <v>2017</v>
      </c>
      <c r="H6" s="89">
        <f>'Revenue '!F7</f>
        <v>2018</v>
      </c>
      <c r="I6" s="89" t="str">
        <f>'Revenue '!G7</f>
        <v>2019E</v>
      </c>
      <c r="J6" s="95" t="s">
        <v>89</v>
      </c>
      <c r="K6" s="106"/>
      <c r="L6" s="89">
        <f>'Revenue '!C7</f>
        <v>2015</v>
      </c>
      <c r="M6" s="89">
        <f>'Revenue '!D7</f>
        <v>2016</v>
      </c>
      <c r="N6" s="89">
        <f>'Revenue '!E7</f>
        <v>2017</v>
      </c>
      <c r="O6" s="89">
        <f>'Revenue '!F7</f>
        <v>2018</v>
      </c>
      <c r="P6" s="89" t="str">
        <f>'Revenue '!G7</f>
        <v>2019E</v>
      </c>
      <c r="Q6" s="95" t="s">
        <v>90</v>
      </c>
    </row>
    <row r="7" spans="1:17" ht="18" customHeight="1" x14ac:dyDescent="0.4">
      <c r="A7" s="7">
        <v>1</v>
      </c>
      <c r="B7" s="107">
        <v>23</v>
      </c>
      <c r="C7" s="97" t="str">
        <f>'Revenue '!B8</f>
        <v>Alternative Snacks</v>
      </c>
      <c r="D7" s="97"/>
      <c r="E7" s="100">
        <f>'Revenue '!J8*$J7</f>
        <v>107.89188</v>
      </c>
      <c r="F7" s="100">
        <f>'Revenue '!K8*$J7</f>
        <v>153.11384999999999</v>
      </c>
      <c r="G7" s="100">
        <f>'Revenue '!L8*$J7</f>
        <v>209.77343999999999</v>
      </c>
      <c r="H7" s="100">
        <f>'Revenue '!M8*$J7</f>
        <v>278.77835999999996</v>
      </c>
      <c r="I7" s="100">
        <f>'Revenue '!N8*$J7</f>
        <v>360.24</v>
      </c>
      <c r="J7" s="42">
        <v>0.47399999999999998</v>
      </c>
      <c r="K7" s="97"/>
      <c r="L7" s="100">
        <f>$Q7/365*'Revenue '!J8</f>
        <v>20.267534246575341</v>
      </c>
      <c r="M7" s="100">
        <f>$Q7/365*'Revenue '!K8</f>
        <v>28.762499999999996</v>
      </c>
      <c r="N7" s="100">
        <f>$Q7/365*'Revenue '!L8</f>
        <v>39.406027397260274</v>
      </c>
      <c r="O7" s="100">
        <f>$Q7/365*'Revenue '!M8</f>
        <v>52.368630136986297</v>
      </c>
      <c r="P7" s="100">
        <f>$Q7/365*'Revenue '!N8</f>
        <v>67.671232876712324</v>
      </c>
      <c r="Q7" s="108">
        <v>32.5</v>
      </c>
    </row>
    <row r="8" spans="1:17" ht="18" customHeight="1" x14ac:dyDescent="0.4">
      <c r="A8" s="7">
        <f t="shared" ref="A8:A23" si="0">A7+1</f>
        <v>2</v>
      </c>
      <c r="B8" s="107">
        <v>764</v>
      </c>
      <c r="C8" s="97" t="str">
        <f>'Revenue '!B9</f>
        <v>Beer</v>
      </c>
      <c r="D8" s="97"/>
      <c r="E8" s="100">
        <f>'Revenue '!J9*$J8</f>
        <v>836.43317999999999</v>
      </c>
      <c r="F8" s="100">
        <f>'Revenue '!K9*$J8</f>
        <v>1094.476275</v>
      </c>
      <c r="G8" s="100">
        <f>'Revenue '!L9*$J8</f>
        <v>1383.7991400000003</v>
      </c>
      <c r="H8" s="100">
        <f>'Revenue '!M9*$J8</f>
        <v>1701.8505000000002</v>
      </c>
      <c r="I8" s="100">
        <f>'Revenue '!N9*$J8</f>
        <v>2045.0689200000002</v>
      </c>
      <c r="J8" s="42">
        <v>0.20700000000000002</v>
      </c>
      <c r="K8" s="97"/>
      <c r="L8" s="100">
        <f>$Q8/365*'Revenue '!J9</f>
        <v>387.46821917808217</v>
      </c>
      <c r="M8" s="100">
        <f>$Q8/365*'Revenue '!K9</f>
        <v>507.00376712328762</v>
      </c>
      <c r="N8" s="100">
        <f>$Q8/365*'Revenue '!L9</f>
        <v>641.02931506849313</v>
      </c>
      <c r="O8" s="100">
        <f>$Q8/365*'Revenue '!M9</f>
        <v>788.36301369863008</v>
      </c>
      <c r="P8" s="100">
        <f>$Q8/365*'Revenue '!N9</f>
        <v>947.35506849315061</v>
      </c>
      <c r="Q8" s="108">
        <v>35</v>
      </c>
    </row>
    <row r="9" spans="1:17" ht="18" customHeight="1" x14ac:dyDescent="0.4">
      <c r="A9" s="7">
        <f t="shared" si="0"/>
        <v>3</v>
      </c>
      <c r="B9" s="107">
        <v>796</v>
      </c>
      <c r="C9" s="97" t="str">
        <f>'Revenue '!B10</f>
        <v>Cigarettes</v>
      </c>
      <c r="D9" s="97"/>
      <c r="E9" s="100">
        <f>'Revenue '!J10*$J9</f>
        <v>1185.2352000000001</v>
      </c>
      <c r="F9" s="100">
        <f>'Revenue '!K10*$J9</f>
        <v>1467.4284000000002</v>
      </c>
      <c r="G9" s="100">
        <f>'Revenue '!L10*$J9</f>
        <v>1733.2833600000004</v>
      </c>
      <c r="H9" s="100">
        <f>'Revenue '!M10*$J9</f>
        <v>2016.5443200000004</v>
      </c>
      <c r="I9" s="100">
        <f>'Revenue '!N10*$J9</f>
        <v>2298.2400000000002</v>
      </c>
      <c r="J9" s="42">
        <v>0.14400000000000002</v>
      </c>
      <c r="K9" s="97"/>
      <c r="L9" s="100">
        <f>$Q9/365*'Revenue '!J10</f>
        <v>902.00547945205471</v>
      </c>
      <c r="M9" s="100">
        <f>$Q9/365*'Revenue '!K10</f>
        <v>1116.7643835616439</v>
      </c>
      <c r="N9" s="100">
        <f>$Q9/365*'Revenue '!L10</f>
        <v>1319.0893150684931</v>
      </c>
      <c r="O9" s="100">
        <f>$Q9/365*'Revenue '!M10</f>
        <v>1534.6608219178081</v>
      </c>
      <c r="P9" s="100">
        <f>$Q9/365*'Revenue '!N10</f>
        <v>1749.0410958904108</v>
      </c>
      <c r="Q9" s="108">
        <v>40</v>
      </c>
    </row>
    <row r="10" spans="1:17" ht="18" customHeight="1" x14ac:dyDescent="0.4">
      <c r="A10" s="7">
        <f t="shared" si="0"/>
        <v>4</v>
      </c>
      <c r="B10" s="107">
        <v>1332.0000000000002</v>
      </c>
      <c r="C10" s="97" t="str">
        <f>'Revenue '!B11</f>
        <v>Fluid Milk Products</v>
      </c>
      <c r="D10" s="97"/>
      <c r="E10" s="100">
        <f>'Revenue '!J11*$J10</f>
        <v>124.53624000000001</v>
      </c>
      <c r="F10" s="100">
        <f>'Revenue '!K11*$J10</f>
        <v>162.3415</v>
      </c>
      <c r="G10" s="100">
        <f>'Revenue '!L11*$J10</f>
        <v>200.57178000000002</v>
      </c>
      <c r="H10" s="100">
        <f>'Revenue '!M11*$J10</f>
        <v>241.30645000000001</v>
      </c>
      <c r="I10" s="100">
        <f>'Revenue '!N11*$J10</f>
        <v>283.52600000000001</v>
      </c>
      <c r="J10" s="42">
        <v>0.26900000000000002</v>
      </c>
      <c r="K10" s="97"/>
      <c r="L10" s="100">
        <f>$Q10/365*'Revenue '!J11</f>
        <v>12.683835616438355</v>
      </c>
      <c r="M10" s="100">
        <f>$Q10/365*'Revenue '!K11</f>
        <v>16.534246575342465</v>
      </c>
      <c r="N10" s="100">
        <f>$Q10/365*'Revenue '!L11</f>
        <v>20.42794520547945</v>
      </c>
      <c r="O10" s="100">
        <f>$Q10/365*'Revenue '!M11</f>
        <v>24.576712328767119</v>
      </c>
      <c r="P10" s="100">
        <f>$Q10/365*'Revenue '!N11</f>
        <v>28.876712328767123</v>
      </c>
      <c r="Q10" s="108">
        <v>10</v>
      </c>
    </row>
    <row r="11" spans="1:17" ht="18" customHeight="1" x14ac:dyDescent="0.4">
      <c r="A11" s="7">
        <f t="shared" si="0"/>
        <v>5</v>
      </c>
      <c r="B11" s="107">
        <v>1482</v>
      </c>
      <c r="C11" s="97" t="str">
        <f>'Revenue '!B12</f>
        <v>Health and Beauty Care</v>
      </c>
      <c r="D11" s="97"/>
      <c r="E11" s="100">
        <f>'Revenue '!J12*$J11</f>
        <v>154.48229999999998</v>
      </c>
      <c r="F11" s="100">
        <f>'Revenue '!K12*$J11</f>
        <v>197.94774999999998</v>
      </c>
      <c r="G11" s="100">
        <f>'Revenue '!L12*$J11</f>
        <v>243.31724999999997</v>
      </c>
      <c r="H11" s="100">
        <f>'Revenue '!M12*$J11</f>
        <v>291.70102499999996</v>
      </c>
      <c r="I11" s="100">
        <f>'Revenue '!N12*$J11</f>
        <v>338.99999999999994</v>
      </c>
      <c r="J11" s="42">
        <v>0.56499999999999995</v>
      </c>
      <c r="K11" s="97"/>
      <c r="L11" s="100">
        <f>$Q11/365*'Revenue '!J12</f>
        <v>44.945753424657532</v>
      </c>
      <c r="M11" s="100">
        <f>$Q11/365*'Revenue '!K12</f>
        <v>57.591780821917808</v>
      </c>
      <c r="N11" s="100">
        <f>$Q11/365*'Revenue '!L12</f>
        <v>70.791780821917797</v>
      </c>
      <c r="O11" s="100">
        <f>$Q11/365*'Revenue '!M12</f>
        <v>84.868767123287668</v>
      </c>
      <c r="P11" s="100">
        <f>$Q11/365*'Revenue '!N12</f>
        <v>98.630136986301366</v>
      </c>
      <c r="Q11" s="108">
        <v>60</v>
      </c>
    </row>
    <row r="12" spans="1:17" ht="18" customHeight="1" x14ac:dyDescent="0.4">
      <c r="A12" s="7">
        <f t="shared" si="0"/>
        <v>6</v>
      </c>
      <c r="B12" s="107">
        <v>1673</v>
      </c>
      <c r="C12" s="97" t="str">
        <f>'Revenue '!B13</f>
        <v>Other Tobacco</v>
      </c>
      <c r="D12" s="97"/>
      <c r="E12" s="100">
        <f>'Revenue '!J13*$J12</f>
        <v>339.37504000000001</v>
      </c>
      <c r="F12" s="100">
        <f>'Revenue '!K13*$J12</f>
        <v>443.61180000000002</v>
      </c>
      <c r="G12" s="100">
        <f>'Revenue '!L13*$J12</f>
        <v>565.27848000000006</v>
      </c>
      <c r="H12" s="100">
        <f>'Revenue '!M13*$J12</f>
        <v>700.48664000000008</v>
      </c>
      <c r="I12" s="100">
        <f>'Revenue '!N13*$J12</f>
        <v>849.52</v>
      </c>
      <c r="J12" s="42">
        <v>0.32800000000000001</v>
      </c>
      <c r="K12" s="97"/>
      <c r="L12" s="100">
        <f>$Q12/365*'Revenue '!J13</f>
        <v>141.73698630136985</v>
      </c>
      <c r="M12" s="100">
        <f>$Q12/365*'Revenue '!K13</f>
        <v>185.27054794520546</v>
      </c>
      <c r="N12" s="100">
        <f>$Q12/365*'Revenue '!L13</f>
        <v>236.08356164383562</v>
      </c>
      <c r="O12" s="100">
        <f>$Q12/365*'Revenue '!M13</f>
        <v>292.55205479452053</v>
      </c>
      <c r="P12" s="100">
        <f>$Q12/365*'Revenue '!N13</f>
        <v>354.79452054794518</v>
      </c>
      <c r="Q12" s="108">
        <v>50</v>
      </c>
    </row>
    <row r="13" spans="1:17" ht="18" customHeight="1" x14ac:dyDescent="0.4">
      <c r="A13" s="7">
        <f t="shared" si="0"/>
        <v>7</v>
      </c>
      <c r="B13" s="107">
        <v>2145</v>
      </c>
      <c r="C13" s="97" t="str">
        <f>'Revenue '!B14</f>
        <v>Packaged Beverages</v>
      </c>
      <c r="D13" s="97"/>
      <c r="E13" s="100">
        <f>'Revenue '!J14*$J13</f>
        <v>1484.20128</v>
      </c>
      <c r="F13" s="100">
        <f>'Revenue '!K14*$J13</f>
        <v>1978.4941999999999</v>
      </c>
      <c r="G13" s="100">
        <f>'Revenue '!L14*$J13</f>
        <v>2527.51548</v>
      </c>
      <c r="H13" s="100">
        <f>'Revenue '!M14*$J13</f>
        <v>3150.3688999999999</v>
      </c>
      <c r="I13" s="100">
        <f>'Revenue '!N14*$J13</f>
        <v>3842.4128000000001</v>
      </c>
      <c r="J13" s="42">
        <v>0.42799999999999999</v>
      </c>
      <c r="K13" s="97"/>
      <c r="L13" s="100">
        <f>$Q13/365*'Revenue '!J14</f>
        <v>285.02136986301372</v>
      </c>
      <c r="M13" s="100">
        <f>$Q13/365*'Revenue '!K14</f>
        <v>379.94383561643832</v>
      </c>
      <c r="N13" s="100">
        <f>$Q13/365*'Revenue '!L14</f>
        <v>485.37616438356162</v>
      </c>
      <c r="O13" s="100">
        <f>$Q13/365*'Revenue '!M14</f>
        <v>604.98698630136983</v>
      </c>
      <c r="P13" s="100">
        <f>$Q13/365*'Revenue '!N14</f>
        <v>737.88493150684928</v>
      </c>
      <c r="Q13" s="108">
        <v>29.999999999999996</v>
      </c>
    </row>
    <row r="14" spans="1:17" ht="18" customHeight="1" x14ac:dyDescent="0.4">
      <c r="A14" s="7">
        <f t="shared" si="0"/>
        <v>8</v>
      </c>
      <c r="B14" s="107">
        <v>3110</v>
      </c>
      <c r="C14" s="97" t="str">
        <f>'Revenue '!B15</f>
        <v>Packaged Sweet Snacks</v>
      </c>
      <c r="D14" s="97"/>
      <c r="E14" s="100">
        <f>'Revenue '!J15*$J14</f>
        <v>176.71852000000001</v>
      </c>
      <c r="F14" s="100">
        <f>'Revenue '!K15*$J14</f>
        <v>237.46720000000002</v>
      </c>
      <c r="G14" s="100">
        <f>'Revenue '!L15*$J14</f>
        <v>306.05939999999998</v>
      </c>
      <c r="H14" s="100">
        <f>'Revenue '!M15*$J14</f>
        <v>383.06254000000001</v>
      </c>
      <c r="I14" s="100">
        <f>'Revenue '!N15*$J14</f>
        <v>475.55200000000002</v>
      </c>
      <c r="J14" s="42">
        <v>0.38600000000000001</v>
      </c>
      <c r="K14" s="97"/>
      <c r="L14" s="100">
        <f>$Q14/365*'Revenue '!J15</f>
        <v>50.172054794520541</v>
      </c>
      <c r="M14" s="100">
        <f>$Q14/365*'Revenue '!K15</f>
        <v>67.419178082191777</v>
      </c>
      <c r="N14" s="100">
        <f>$Q14/365*'Revenue '!L15</f>
        <v>86.893150684931499</v>
      </c>
      <c r="O14" s="100">
        <f>$Q14/365*'Revenue '!M15</f>
        <v>108.75506849315067</v>
      </c>
      <c r="P14" s="100">
        <f>$Q14/365*'Revenue '!N15</f>
        <v>135.01369863013699</v>
      </c>
      <c r="Q14" s="108">
        <v>40</v>
      </c>
    </row>
    <row r="15" spans="1:17" ht="18" customHeight="1" x14ac:dyDescent="0.4">
      <c r="A15" s="7">
        <f t="shared" si="0"/>
        <v>9</v>
      </c>
      <c r="B15" s="107">
        <v>4565</v>
      </c>
      <c r="C15" s="97" t="str">
        <f>'Revenue '!B16</f>
        <v>Publications</v>
      </c>
      <c r="D15" s="97"/>
      <c r="E15" s="100">
        <f>'Revenue '!J16*$J15</f>
        <v>96.250500000000017</v>
      </c>
      <c r="F15" s="100">
        <f>'Revenue '!K16*$J15</f>
        <v>118.05702500000002</v>
      </c>
      <c r="G15" s="100">
        <f>'Revenue '!L16*$J15</f>
        <v>138.16122000000001</v>
      </c>
      <c r="H15" s="100">
        <f>'Revenue '!M16*$J15</f>
        <v>156.87073500000002</v>
      </c>
      <c r="I15" s="100">
        <f>'Revenue '!N16*$J15</f>
        <v>175.8</v>
      </c>
      <c r="J15" s="42">
        <v>0.29300000000000004</v>
      </c>
      <c r="K15" s="97"/>
      <c r="L15" s="100">
        <f>$Q15/365*'Revenue '!J16</f>
        <v>18</v>
      </c>
      <c r="M15" s="100">
        <f>$Q15/365*'Revenue '!K16</f>
        <v>22.078082191780823</v>
      </c>
      <c r="N15" s="100">
        <f>$Q15/365*'Revenue '!L16</f>
        <v>25.837808219178083</v>
      </c>
      <c r="O15" s="100">
        <f>$Q15/365*'Revenue '!M16</f>
        <v>29.336712328767121</v>
      </c>
      <c r="P15" s="100">
        <f>$Q15/365*'Revenue '!N16</f>
        <v>32.87671232876712</v>
      </c>
      <c r="Q15" s="108">
        <v>20</v>
      </c>
    </row>
    <row r="16" spans="1:17" ht="18" customHeight="1" x14ac:dyDescent="0.4">
      <c r="A16" s="7">
        <f t="shared" si="0"/>
        <v>10</v>
      </c>
      <c r="B16" s="107">
        <v>5094</v>
      </c>
      <c r="C16" s="97" t="str">
        <f>'Revenue '!B17</f>
        <v>Salty Snacks</v>
      </c>
      <c r="D16" s="97"/>
      <c r="E16" s="100">
        <f>'Revenue '!J17*$J16</f>
        <v>344.24149999999997</v>
      </c>
      <c r="F16" s="100">
        <f>'Revenue '!K17*$J16</f>
        <v>472.5575</v>
      </c>
      <c r="G16" s="100">
        <f>'Revenue '!L17*$J16</f>
        <v>615.55724999999995</v>
      </c>
      <c r="H16" s="100">
        <f>'Revenue '!M17*$J16</f>
        <v>792.24249999999995</v>
      </c>
      <c r="I16" s="100">
        <f>'Revenue '!N17*$J16</f>
        <v>988.125</v>
      </c>
      <c r="J16" s="42">
        <v>0.42499999999999999</v>
      </c>
      <c r="K16" s="97"/>
      <c r="L16" s="100">
        <f>$Q16/365*'Revenue '!J17</f>
        <v>122.0517808219178</v>
      </c>
      <c r="M16" s="100">
        <f>$Q16/365*'Revenue '!K17</f>
        <v>167.54657534246576</v>
      </c>
      <c r="N16" s="100">
        <f>$Q16/365*'Revenue '!L17</f>
        <v>218.24753424657533</v>
      </c>
      <c r="O16" s="100">
        <f>$Q16/365*'Revenue '!M17</f>
        <v>280.89178082191779</v>
      </c>
      <c r="P16" s="100">
        <f>$Q16/365*'Revenue '!N17</f>
        <v>350.34246575342462</v>
      </c>
      <c r="Q16" s="108">
        <v>54.999999999999993</v>
      </c>
    </row>
    <row r="17" spans="1:17" ht="18" customHeight="1" x14ac:dyDescent="0.4">
      <c r="A17" s="7"/>
      <c r="B17" s="107"/>
      <c r="C17" s="97" t="str">
        <f>'Revenue '!B18</f>
        <v>Total Products</v>
      </c>
      <c r="D17" s="97"/>
      <c r="E17" s="100"/>
      <c r="F17" s="100"/>
      <c r="G17" s="100"/>
      <c r="H17" s="100"/>
      <c r="I17" s="100"/>
      <c r="J17" s="42"/>
      <c r="K17" s="97"/>
      <c r="L17" s="100"/>
      <c r="M17" s="100"/>
      <c r="N17" s="100"/>
      <c r="O17" s="100"/>
      <c r="P17" s="100"/>
      <c r="Q17" s="108"/>
    </row>
    <row r="18" spans="1:17" ht="18" customHeight="1" x14ac:dyDescent="0.4">
      <c r="A18" s="7"/>
      <c r="B18" s="107"/>
      <c r="C18" s="97"/>
      <c r="D18" s="97"/>
      <c r="E18" s="100"/>
      <c r="F18" s="100"/>
      <c r="G18" s="100"/>
      <c r="H18" s="100"/>
      <c r="I18" s="100"/>
      <c r="J18" s="42"/>
      <c r="K18" s="97"/>
      <c r="L18" s="100"/>
      <c r="M18" s="100"/>
      <c r="N18" s="100"/>
      <c r="O18" s="100"/>
      <c r="P18" s="100"/>
      <c r="Q18" s="108"/>
    </row>
    <row r="19" spans="1:17" ht="18" customHeight="1" x14ac:dyDescent="0.4">
      <c r="A19" s="7">
        <f>A16+1</f>
        <v>11</v>
      </c>
      <c r="B19" s="107">
        <v>5215.9999999999991</v>
      </c>
      <c r="C19" s="97" t="str">
        <f>'Revenue '!B21</f>
        <v>Automotive Products</v>
      </c>
      <c r="D19" s="97"/>
      <c r="E19" s="109">
        <v>0</v>
      </c>
      <c r="F19" s="109">
        <v>0</v>
      </c>
      <c r="G19" s="109">
        <v>0</v>
      </c>
      <c r="H19" s="109">
        <v>0</v>
      </c>
      <c r="I19" s="100">
        <f>'Revenue '!N20*$J19</f>
        <v>0</v>
      </c>
      <c r="J19" s="42">
        <v>0.72299999999999998</v>
      </c>
      <c r="K19" s="97"/>
      <c r="L19" s="109">
        <v>0</v>
      </c>
      <c r="M19" s="109">
        <v>0</v>
      </c>
      <c r="N19" s="109">
        <v>0</v>
      </c>
      <c r="O19" s="109">
        <v>0</v>
      </c>
      <c r="P19" s="100">
        <f>$Q19/365*'Revenue '!N20</f>
        <v>0</v>
      </c>
      <c r="Q19" s="108">
        <v>60</v>
      </c>
    </row>
    <row r="20" spans="1:17" ht="18" customHeight="1" x14ac:dyDescent="0.4">
      <c r="A20" s="7">
        <f t="shared" si="0"/>
        <v>12</v>
      </c>
      <c r="B20" s="107">
        <v>5306.9999999999991</v>
      </c>
      <c r="C20" s="97" t="str">
        <f>'Revenue '!B22</f>
        <v>Frozen Food</v>
      </c>
      <c r="D20" s="97"/>
      <c r="E20" s="109">
        <v>0</v>
      </c>
      <c r="F20" s="109">
        <v>0</v>
      </c>
      <c r="G20" s="109">
        <v>0</v>
      </c>
      <c r="H20" s="109">
        <v>0</v>
      </c>
      <c r="I20" s="100">
        <f>'Revenue '!N21*$J20</f>
        <v>0</v>
      </c>
      <c r="J20" s="42">
        <v>0.22600000000000001</v>
      </c>
      <c r="K20" s="97"/>
      <c r="L20" s="109">
        <v>0</v>
      </c>
      <c r="M20" s="109">
        <v>0</v>
      </c>
      <c r="N20" s="109">
        <v>0</v>
      </c>
      <c r="O20" s="109">
        <v>0</v>
      </c>
      <c r="P20" s="100">
        <f>$Q20/365*'Revenue '!N21</f>
        <v>0</v>
      </c>
      <c r="Q20" s="108">
        <v>30</v>
      </c>
    </row>
    <row r="21" spans="1:17" ht="18" customHeight="1" x14ac:dyDescent="0.4">
      <c r="A21" s="7">
        <f t="shared" si="0"/>
        <v>13</v>
      </c>
      <c r="B21" s="107">
        <v>5840.9999999999991</v>
      </c>
      <c r="C21" s="97" t="str">
        <f>'Revenue '!B23</f>
        <v>Liquor</v>
      </c>
      <c r="D21" s="97"/>
      <c r="E21" s="109">
        <v>0</v>
      </c>
      <c r="F21" s="109">
        <v>0</v>
      </c>
      <c r="G21" s="109">
        <v>0</v>
      </c>
      <c r="H21" s="109">
        <v>0</v>
      </c>
      <c r="I21" s="100">
        <f>'Revenue '!N22*$J21</f>
        <v>0</v>
      </c>
      <c r="J21" s="42">
        <v>0.41899999999999998</v>
      </c>
      <c r="K21" s="97"/>
      <c r="L21" s="109">
        <v>0</v>
      </c>
      <c r="M21" s="109">
        <v>0</v>
      </c>
      <c r="N21" s="109">
        <v>0</v>
      </c>
      <c r="O21" s="109">
        <v>0</v>
      </c>
      <c r="P21" s="100">
        <f>$Q21/365*'Revenue '!N22</f>
        <v>0</v>
      </c>
      <c r="Q21" s="108">
        <v>45</v>
      </c>
    </row>
    <row r="22" spans="1:17" ht="18" customHeight="1" x14ac:dyDescent="0.4">
      <c r="A22" s="7">
        <f t="shared" si="0"/>
        <v>14</v>
      </c>
      <c r="B22" s="107">
        <v>6030</v>
      </c>
      <c r="C22" s="97" t="str">
        <f>'Revenue '!B24</f>
        <v>Packaged Ice Cream</v>
      </c>
      <c r="D22" s="97"/>
      <c r="E22" s="109">
        <v>0</v>
      </c>
      <c r="F22" s="109">
        <v>0</v>
      </c>
      <c r="G22" s="109">
        <v>0</v>
      </c>
      <c r="H22" s="109">
        <v>0</v>
      </c>
      <c r="I22" s="100">
        <f>'Revenue '!N23*$J22</f>
        <v>0</v>
      </c>
      <c r="J22" s="42">
        <v>0.41399999999999998</v>
      </c>
      <c r="K22" s="97"/>
      <c r="L22" s="109">
        <v>0</v>
      </c>
      <c r="M22" s="109">
        <v>0</v>
      </c>
      <c r="N22" s="109">
        <v>0</v>
      </c>
      <c r="O22" s="109">
        <v>0</v>
      </c>
      <c r="P22" s="100">
        <f>$Q22/365*'Revenue '!N23</f>
        <v>0</v>
      </c>
      <c r="Q22" s="108">
        <v>40</v>
      </c>
    </row>
    <row r="23" spans="1:17" ht="18" customHeight="1" x14ac:dyDescent="0.4">
      <c r="A23" s="7">
        <f t="shared" si="0"/>
        <v>15</v>
      </c>
      <c r="B23" s="107">
        <v>6647</v>
      </c>
      <c r="C23" s="97" t="str">
        <f>'Revenue '!B25</f>
        <v>Wine</v>
      </c>
      <c r="D23" s="97"/>
      <c r="E23" s="109">
        <v>0</v>
      </c>
      <c r="F23" s="109">
        <v>0</v>
      </c>
      <c r="G23" s="109">
        <v>0</v>
      </c>
      <c r="H23" s="109">
        <v>0</v>
      </c>
      <c r="I23" s="100">
        <f>'Revenue '!N24*$J23</f>
        <v>0</v>
      </c>
      <c r="J23" s="42">
        <v>0.29299999999999998</v>
      </c>
      <c r="K23" s="97"/>
      <c r="L23" s="109">
        <v>0</v>
      </c>
      <c r="M23" s="109">
        <v>0</v>
      </c>
      <c r="N23" s="109">
        <v>0</v>
      </c>
      <c r="O23" s="109">
        <v>0</v>
      </c>
      <c r="P23" s="100">
        <f>$Q23/365*'Revenue '!N24</f>
        <v>0</v>
      </c>
      <c r="Q23" s="108">
        <v>50</v>
      </c>
    </row>
    <row r="24" spans="1:17" ht="18" customHeight="1" thickBot="1" x14ac:dyDescent="0.45">
      <c r="A24" s="5"/>
      <c r="B24" s="7"/>
      <c r="C24" s="79" t="s">
        <v>84</v>
      </c>
      <c r="D24" s="79"/>
      <c r="E24" s="105">
        <f>SUM(E7:E23)</f>
        <v>4849.3656400000009</v>
      </c>
      <c r="F24" s="105">
        <f>SUM(F7:F23)</f>
        <v>6325.4955</v>
      </c>
      <c r="G24" s="105">
        <f>SUM(G7:G23)</f>
        <v>7923.3168000000005</v>
      </c>
      <c r="H24" s="105">
        <f>SUM(H7:H23)</f>
        <v>9713.2119700000021</v>
      </c>
      <c r="I24" s="105">
        <f>SUM(I7:I23)</f>
        <v>11657.48472</v>
      </c>
      <c r="J24" s="37">
        <f>I24/'Revenue '!N26</f>
        <v>0.26507440784243819</v>
      </c>
      <c r="K24" s="5"/>
      <c r="L24" s="105">
        <f>SUM(L7:L23)</f>
        <v>1984.3530136986301</v>
      </c>
      <c r="M24" s="105">
        <f>SUM(M7:M23)</f>
        <v>2548.9148972602743</v>
      </c>
      <c r="N24" s="105">
        <f>SUM(N7:N23)</f>
        <v>3143.182602739726</v>
      </c>
      <c r="O24" s="105">
        <f>SUM(O7:O23)</f>
        <v>3801.3605479452053</v>
      </c>
      <c r="P24" s="105">
        <f>SUM(P7:P23)</f>
        <v>4502.4865753424647</v>
      </c>
      <c r="Q24" s="110">
        <f>365*P24/'Revenue '!N26</f>
        <v>37.368721201614612</v>
      </c>
    </row>
    <row r="25" spans="1:17" ht="18" customHeight="1" thickTop="1" x14ac:dyDescent="0.4"/>
  </sheetData>
  <mergeCells count="2">
    <mergeCell ref="E4:I4"/>
    <mergeCell ref="L4:P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Cover</vt:lpstr>
      <vt:lpstr>IS</vt:lpstr>
      <vt:lpstr>BS</vt:lpstr>
      <vt:lpstr>Reorganized</vt:lpstr>
      <vt:lpstr>ROIC</vt:lpstr>
      <vt:lpstr>Cash Flow</vt:lpstr>
      <vt:lpstr>Revenue </vt:lpstr>
      <vt:lpstr>Margin &amp; Inventory</vt:lpstr>
      <vt:lpstr>company_name</vt:lpstr>
      <vt:lpstr>name</vt:lpstr>
      <vt:lpstr>'Cash Flow'!Print_Area</vt:lpstr>
      <vt:lpstr>IS!Print_Area</vt:lpstr>
      <vt:lpstr>'Revenue '!Print_Area</vt:lpstr>
      <vt:lpstr>'Revenue '!Print_Titles</vt:lpstr>
      <vt:lpstr>start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Wessels</dc:creator>
  <cp:lastModifiedBy>David Wessels</cp:lastModifiedBy>
  <dcterms:created xsi:type="dcterms:W3CDTF">2019-07-17T14:22:38Z</dcterms:created>
  <dcterms:modified xsi:type="dcterms:W3CDTF">2019-07-17T14:24:25Z</dcterms:modified>
</cp:coreProperties>
</file>