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showInkAnnotation="0" codeName="ThisWorkbook" autoCompressPictures="0"/>
  <bookViews>
    <workbookView xWindow="1965" yWindow="60" windowWidth="15480" windowHeight="11640" tabRatio="681"/>
  </bookViews>
  <sheets>
    <sheet name="Financials" sheetId="11" r:id="rId1"/>
    <sheet name="%%TOBA_CACHE%%" sheetId="14" state="veryHidden" r:id="rId2"/>
    <sheet name="Supplemental" sheetId="10" r:id="rId3"/>
    <sheet name="Other" sheetId="6" r:id="rId4"/>
    <sheet name="Segments" sheetId="15" r:id="rId5"/>
  </sheets>
  <definedNames>
    <definedName name="name">Financials!$A$2</definedName>
    <definedName name="SPWS_WBID">"C55497C2-9C80-11D5-9866-00010246A83F"</definedName>
    <definedName name="Ticker">""</definedName>
  </definedNames>
  <calcPr calcId="125725"/>
</workbook>
</file>

<file path=xl/calcChain.xml><?xml version="1.0" encoding="utf-8"?>
<calcChain xmlns="http://schemas.openxmlformats.org/spreadsheetml/2006/main">
  <c r="L5" i="6"/>
  <c r="M5" s="1"/>
  <c r="N5" s="1"/>
  <c r="O5" s="1"/>
  <c r="P5" s="1"/>
  <c r="Q5" s="1"/>
  <c r="K10"/>
  <c r="L10"/>
  <c r="M10"/>
  <c r="N10"/>
  <c r="O10"/>
  <c r="O15" s="1"/>
  <c r="P10"/>
  <c r="Q10"/>
  <c r="O14"/>
  <c r="P14"/>
  <c r="P15"/>
  <c r="O16"/>
  <c r="P16"/>
  <c r="P18" s="1"/>
  <c r="P17"/>
  <c r="Q18"/>
  <c r="O22"/>
  <c r="P22"/>
  <c r="O23"/>
  <c r="P23"/>
  <c r="O24"/>
  <c r="P24"/>
  <c r="O25"/>
  <c r="P25"/>
  <c r="P26"/>
  <c r="Q26"/>
  <c r="I40" i="15"/>
  <c r="I42" s="1"/>
  <c r="B32"/>
  <c r="C32"/>
  <c r="D32"/>
  <c r="E32"/>
  <c r="F32"/>
  <c r="M30"/>
  <c r="M10" s="1"/>
  <c r="M29"/>
  <c r="M9" s="1"/>
  <c r="M28"/>
  <c r="M20"/>
  <c r="M19"/>
  <c r="M18"/>
  <c r="J17"/>
  <c r="K17" s="1"/>
  <c r="L17" s="1"/>
  <c r="M17" s="1"/>
  <c r="J8"/>
  <c r="K8"/>
  <c r="L8"/>
  <c r="M8"/>
  <c r="J9"/>
  <c r="K9"/>
  <c r="L9"/>
  <c r="J10"/>
  <c r="K10"/>
  <c r="L10"/>
  <c r="J11"/>
  <c r="K11"/>
  <c r="L11"/>
  <c r="I9"/>
  <c r="I10"/>
  <c r="I11"/>
  <c r="I8"/>
  <c r="M11"/>
  <c r="M32"/>
  <c r="C27"/>
  <c r="D27" s="1"/>
  <c r="E27" s="1"/>
  <c r="F27" s="1"/>
  <c r="M42"/>
  <c r="L42"/>
  <c r="K42"/>
  <c r="J42"/>
  <c r="J37"/>
  <c r="K37" s="1"/>
  <c r="L37" s="1"/>
  <c r="M37" s="1"/>
  <c r="J7"/>
  <c r="K7" s="1"/>
  <c r="L7" s="1"/>
  <c r="M7" s="1"/>
  <c r="L32"/>
  <c r="K32"/>
  <c r="J32"/>
  <c r="I32"/>
  <c r="J27"/>
  <c r="K27" s="1"/>
  <c r="L27" s="1"/>
  <c r="M27" s="1"/>
  <c r="F22"/>
  <c r="E22"/>
  <c r="D22"/>
  <c r="C22"/>
  <c r="B22"/>
  <c r="C12"/>
  <c r="D12"/>
  <c r="E12"/>
  <c r="F12"/>
  <c r="B12"/>
  <c r="C17"/>
  <c r="D17" s="1"/>
  <c r="E17" s="1"/>
  <c r="F17" s="1"/>
  <c r="C7"/>
  <c r="D7" s="1"/>
  <c r="E7" s="1"/>
  <c r="F7" s="1"/>
  <c r="A2"/>
  <c r="F52" i="10"/>
  <c r="E52"/>
  <c r="D52"/>
  <c r="A49"/>
  <c r="O26" i="6" l="1"/>
  <c r="O18"/>
  <c r="O17"/>
  <c r="I12" i="15"/>
  <c r="L12"/>
  <c r="K12"/>
  <c r="J12"/>
  <c r="M12"/>
  <c r="D9" i="10"/>
  <c r="D14" s="1"/>
  <c r="D23"/>
  <c r="C23"/>
  <c r="C14"/>
  <c r="A33"/>
  <c r="G26"/>
  <c r="C26"/>
  <c r="G30" i="6"/>
  <c r="F30"/>
  <c r="G23"/>
  <c r="F23"/>
  <c r="G16"/>
  <c r="F16"/>
  <c r="G9"/>
  <c r="F9"/>
  <c r="E23" i="10"/>
  <c r="C27"/>
  <c r="D27"/>
  <c r="E27"/>
  <c r="F27"/>
  <c r="C28"/>
  <c r="D28"/>
  <c r="E28"/>
  <c r="F28"/>
  <c r="E14"/>
  <c r="F23"/>
  <c r="F14"/>
  <c r="F41"/>
  <c r="G41"/>
  <c r="D36"/>
  <c r="E36" s="1"/>
  <c r="F36" s="1"/>
  <c r="G9" i="11"/>
  <c r="G16"/>
  <c r="G20"/>
  <c r="F9"/>
  <c r="F16"/>
  <c r="F20"/>
  <c r="E9"/>
  <c r="E16"/>
  <c r="E18"/>
  <c r="E20"/>
  <c r="D9"/>
  <c r="D16"/>
  <c r="D20"/>
  <c r="C9"/>
  <c r="C16"/>
  <c r="C18"/>
  <c r="C19"/>
  <c r="C20"/>
  <c r="G28" i="10"/>
  <c r="G27"/>
  <c r="A2"/>
  <c r="D6" i="11"/>
  <c r="E6"/>
  <c r="F6"/>
  <c r="O40"/>
  <c r="M40"/>
  <c r="L40"/>
  <c r="K40"/>
  <c r="J40"/>
  <c r="N16"/>
  <c r="N23"/>
  <c r="M31"/>
  <c r="M16"/>
  <c r="M23"/>
  <c r="M21"/>
  <c r="L31"/>
  <c r="L16"/>
  <c r="L23"/>
  <c r="L21"/>
  <c r="K16"/>
  <c r="J16"/>
  <c r="I2"/>
  <c r="B26" i="6"/>
  <c r="B19"/>
  <c r="B12"/>
  <c r="D5"/>
  <c r="D12" s="1"/>
  <c r="C5"/>
  <c r="C19" s="1"/>
  <c r="G14" i="10"/>
  <c r="G23"/>
  <c r="D6"/>
  <c r="E6" s="1"/>
  <c r="F6" s="1"/>
  <c r="F26" s="1"/>
  <c r="C29" i="11"/>
  <c r="D29"/>
  <c r="E29"/>
  <c r="F29"/>
  <c r="G29"/>
  <c r="B29"/>
  <c r="G23"/>
  <c r="O35"/>
  <c r="O43" s="1"/>
  <c r="O51" s="1"/>
  <c r="O24"/>
  <c r="L6"/>
  <c r="J14"/>
  <c r="K14"/>
  <c r="L14"/>
  <c r="M14"/>
  <c r="N14"/>
  <c r="J24"/>
  <c r="K24"/>
  <c r="L24"/>
  <c r="M24"/>
  <c r="N24"/>
  <c r="L28"/>
  <c r="M28" s="1"/>
  <c r="N28" s="1"/>
  <c r="O28" s="1"/>
  <c r="J35"/>
  <c r="J43" s="1"/>
  <c r="J51" s="1"/>
  <c r="K35"/>
  <c r="L35"/>
  <c r="L43" s="1"/>
  <c r="L51" s="1"/>
  <c r="M35"/>
  <c r="M43" s="1"/>
  <c r="M51" s="1"/>
  <c r="N35"/>
  <c r="N43" s="1"/>
  <c r="N51" s="1"/>
  <c r="K43"/>
  <c r="K51" s="1"/>
  <c r="B9"/>
  <c r="B15"/>
  <c r="B16"/>
  <c r="B18"/>
  <c r="B20"/>
  <c r="B23"/>
  <c r="C23"/>
  <c r="E23"/>
  <c r="F23"/>
  <c r="B9" i="6"/>
  <c r="C9"/>
  <c r="D9"/>
  <c r="B16"/>
  <c r="C16"/>
  <c r="D16"/>
  <c r="B23"/>
  <c r="C23"/>
  <c r="D23"/>
  <c r="B29"/>
  <c r="B28"/>
  <c r="C29"/>
  <c r="C28"/>
  <c r="C30" s="1"/>
  <c r="D28"/>
  <c r="D30" s="1"/>
  <c r="D29"/>
  <c r="E30"/>
  <c r="E23"/>
  <c r="E16"/>
  <c r="E9"/>
  <c r="A2"/>
  <c r="B30" l="1"/>
  <c r="C26"/>
  <c r="E5"/>
  <c r="D26"/>
  <c r="D19"/>
  <c r="C12"/>
  <c r="F29" i="10"/>
  <c r="E29"/>
  <c r="D29"/>
  <c r="C29"/>
  <c r="D26"/>
  <c r="E26"/>
  <c r="G29"/>
  <c r="M6" i="11"/>
  <c r="D23"/>
  <c r="E26" i="6" l="1"/>
  <c r="E19"/>
  <c r="F5"/>
  <c r="E12"/>
  <c r="N6" i="11"/>
  <c r="F26" i="6" l="1"/>
  <c r="G5"/>
  <c r="F19"/>
  <c r="F12"/>
  <c r="O6" i="11"/>
  <c r="G12" i="6" l="1"/>
  <c r="G19"/>
  <c r="G26"/>
  <c r="I22" i="15" l="1"/>
  <c r="J22"/>
  <c r="K22"/>
  <c r="L22"/>
  <c r="M22"/>
  <c r="F31" l="1"/>
  <c r="F28"/>
  <c r="F29"/>
  <c r="F30"/>
  <c r="B30"/>
  <c r="B29"/>
  <c r="B28"/>
  <c r="B31"/>
  <c r="C29"/>
  <c r="C31"/>
  <c r="C28"/>
  <c r="C30"/>
  <c r="D31"/>
  <c r="D28"/>
  <c r="D29"/>
  <c r="D30"/>
  <c r="E28"/>
  <c r="E29"/>
  <c r="E30"/>
  <c r="E31"/>
</calcChain>
</file>

<file path=xl/sharedStrings.xml><?xml version="1.0" encoding="utf-8"?>
<sst xmlns="http://schemas.openxmlformats.org/spreadsheetml/2006/main" count="194" uniqueCount="124">
  <si>
    <t>Other non-current liabilities</t>
  </si>
  <si>
    <t>Subscribed capital</t>
  </si>
  <si>
    <t>Capital reserve</t>
  </si>
  <si>
    <t>Retained earnings</t>
  </si>
  <si>
    <t>Gains and losses recognized in equity</t>
  </si>
  <si>
    <t>Organic Growth</t>
  </si>
  <si>
    <t>Laundry &amp; Home Care</t>
  </si>
  <si>
    <t>Adhesive Technologies</t>
  </si>
  <si>
    <t>Cosmetics &amp; Personal Care</t>
  </si>
  <si>
    <t>Liabilities and Equity</t>
  </si>
  <si>
    <t>Employees</t>
  </si>
  <si>
    <t>Europe</t>
  </si>
  <si>
    <t>North America</t>
  </si>
  <si>
    <t>Latin America</t>
  </si>
  <si>
    <t>Asia-Pacific</t>
  </si>
  <si>
    <t>Total</t>
  </si>
  <si>
    <t>Region</t>
  </si>
  <si>
    <t>Industrial Adhesives</t>
  </si>
  <si>
    <t>Cost of sales</t>
  </si>
  <si>
    <t>Gross profit</t>
  </si>
  <si>
    <t>Total current assets</t>
  </si>
  <si>
    <t>Total assets</t>
  </si>
  <si>
    <t>Earnings before income taxes</t>
  </si>
  <si>
    <t>Total current liabilities</t>
  </si>
  <si>
    <t>Total liabilities</t>
  </si>
  <si>
    <t>Total liabilities and equity</t>
  </si>
  <si>
    <t>Net income</t>
  </si>
  <si>
    <t>General and administrative</t>
  </si>
  <si>
    <t>Income tax benefit (provision)</t>
  </si>
  <si>
    <t>Minority Interest</t>
  </si>
  <si>
    <t>Inventories</t>
  </si>
  <si>
    <t>Deferred income taxes</t>
  </si>
  <si>
    <t>Other current liabilities</t>
  </si>
  <si>
    <t>Henkel AG</t>
  </si>
  <si>
    <t>Pensions and similar obligations</t>
  </si>
  <si>
    <t>Other long-term provisions</t>
  </si>
  <si>
    <t>Long-term borrowings</t>
  </si>
  <si>
    <t>Operating profit (EBIT)</t>
  </si>
  <si>
    <t>Other operating income</t>
  </si>
  <si>
    <t>Other operating  charges</t>
  </si>
  <si>
    <t>Marketing, selling, and distribution</t>
  </si>
  <si>
    <t>Interest (expense) income</t>
  </si>
  <si>
    <t>EUR millions</t>
  </si>
  <si>
    <t>Segment</t>
  </si>
  <si>
    <t>Intangible assets</t>
  </si>
  <si>
    <t>Business Sector</t>
  </si>
  <si>
    <t>Adhesives Technologies</t>
  </si>
  <si>
    <t>Cosmetics/Toiletries</t>
  </si>
  <si>
    <t>Coporate</t>
  </si>
  <si>
    <t>Entire Company</t>
  </si>
  <si>
    <t>Source: Lehman Brothers Estimates, UBS Estimates, JP Morgan Estimates &amp; Company reports</t>
  </si>
  <si>
    <t>Assets</t>
  </si>
  <si>
    <t>Net revenues</t>
  </si>
  <si>
    <t>Organic growth</t>
  </si>
  <si>
    <t>Currency fluctuation</t>
  </si>
  <si>
    <t>Portfolio change</t>
  </si>
  <si>
    <t>Reported revenue growth</t>
  </si>
  <si>
    <t>Production &amp; Engineering</t>
  </si>
  <si>
    <t>Research &amp; Development</t>
  </si>
  <si>
    <t>Administration</t>
  </si>
  <si>
    <t>Marketing, Selling, &amp; Distribution</t>
  </si>
  <si>
    <t>Function</t>
  </si>
  <si>
    <t xml:space="preserve">Research and development </t>
  </si>
  <si>
    <t>Other current assets</t>
  </si>
  <si>
    <t>Income tax refund claims</t>
  </si>
  <si>
    <t>Liquid funds/marketable securities</t>
  </si>
  <si>
    <t>Assets held for sale</t>
  </si>
  <si>
    <t>Investments in associates</t>
  </si>
  <si>
    <t>Other investments</t>
  </si>
  <si>
    <t>Other non current assets</t>
  </si>
  <si>
    <t>Short-term borrowings</t>
  </si>
  <si>
    <t>Current financial liabilities</t>
  </si>
  <si>
    <t>Corporate</t>
  </si>
  <si>
    <t>Income Statement</t>
  </si>
  <si>
    <t>Balance Sheet</t>
  </si>
  <si>
    <t>Investment result</t>
  </si>
  <si>
    <t>Attributable to minority shareholders</t>
  </si>
  <si>
    <t>Attributable to shareholders of Henkel AG</t>
  </si>
  <si>
    <t>Attribution</t>
  </si>
  <si>
    <t>Other operating charges</t>
  </si>
  <si>
    <t>Write-downs of miscellaneous assets</t>
  </si>
  <si>
    <t xml:space="preserve">Losses on disposal of non-current assets </t>
  </si>
  <si>
    <t xml:space="preserve">Goodwill impairment losses </t>
  </si>
  <si>
    <t>Sundry operating expenses</t>
  </si>
  <si>
    <t>Release of doubtful debts</t>
  </si>
  <si>
    <t>Gains on disposal of non-current assets</t>
  </si>
  <si>
    <t>Profits on sale of businesses</t>
  </si>
  <si>
    <t>Release of provisions</t>
  </si>
  <si>
    <t>Write-ups of non-current assets</t>
  </si>
  <si>
    <t>Sundry operating income</t>
  </si>
  <si>
    <t>Source: Annual Report, page 80.</t>
  </si>
  <si>
    <t>Current financial assets</t>
  </si>
  <si>
    <t>Long-term financial assets</t>
  </si>
  <si>
    <t>Accounts payable</t>
  </si>
  <si>
    <t>Noncurrent financial liabilities</t>
  </si>
  <si>
    <t>Source: Henkel annual report, page x</t>
  </si>
  <si>
    <t>Operating</t>
  </si>
  <si>
    <t>yes</t>
  </si>
  <si>
    <t>Other operaitng expenses</t>
  </si>
  <si>
    <t>Restructuring charges</t>
  </si>
  <si>
    <t>Restructuring charges in 2009: 159 million euros (2008: 663 million euros), of which 70 million euros (2008: 373 million euros) cost of sales, 52 million euros</t>
  </si>
  <si>
    <t>(2008: 111 million euros) marketing, selling and distribution expenses, 13 million euros (2008: 52 million euros) research and development expenses,</t>
  </si>
  <si>
    <t>24 million euros (2008: 127 million euros) administrative expenses</t>
  </si>
  <si>
    <t>Property, plant, and equipment</t>
  </si>
  <si>
    <t>Trade accounts receivable</t>
  </si>
  <si>
    <t>Other short-term provisions</t>
  </si>
  <si>
    <t>Deferred taxes and tax provisions</t>
  </si>
  <si>
    <t>Income tax provisions and liabilities</t>
  </si>
  <si>
    <t>Other operating income, net</t>
  </si>
  <si>
    <t>Foreign exchange gains</t>
  </si>
  <si>
    <t>Foreign exchange losses</t>
  </si>
  <si>
    <t>Amortization of intangibles</t>
  </si>
  <si>
    <t>Amortization of Intangibles</t>
  </si>
  <si>
    <t>Segment Data</t>
  </si>
  <si>
    <t>Amortization</t>
  </si>
  <si>
    <t>Source: Henkel 2009 Annual Report, page 86.</t>
  </si>
  <si>
    <t>Capital Employed (with goodwill)</t>
  </si>
  <si>
    <t>Capital Employed (without goodwill)</t>
  </si>
  <si>
    <r>
      <t>Revenues</t>
    </r>
    <r>
      <rPr>
        <b/>
        <vertAlign val="superscript"/>
        <sz val="11"/>
        <rFont val="Calibri"/>
        <family val="2"/>
        <scheme val="minor"/>
      </rPr>
      <t>1</t>
    </r>
  </si>
  <si>
    <r>
      <t>Operating Profit (EBIT)</t>
    </r>
    <r>
      <rPr>
        <b/>
        <vertAlign val="superscript"/>
        <sz val="11"/>
        <rFont val="Calibri"/>
        <family val="2"/>
        <scheme val="minor"/>
      </rPr>
      <t>1</t>
    </r>
  </si>
  <si>
    <r>
      <rPr>
        <vertAlign val="superscript"/>
        <sz val="11"/>
        <rFont val="Calibri"/>
        <family val="2"/>
        <scheme val="minor"/>
      </rPr>
      <t>1</t>
    </r>
    <r>
      <rPr>
        <sz val="11"/>
        <rFont val="Calibri"/>
        <family val="2"/>
        <scheme val="minor"/>
      </rPr>
      <t xml:space="preserve"> Henkel 2009 Annual Report, page 84.</t>
    </r>
  </si>
  <si>
    <r>
      <t>Goodwill</t>
    </r>
    <r>
      <rPr>
        <b/>
        <vertAlign val="superscript"/>
        <sz val="11"/>
        <rFont val="Calibri"/>
        <family val="2"/>
        <scheme val="minor"/>
      </rPr>
      <t>2</t>
    </r>
  </si>
  <si>
    <r>
      <t>Acquired Intangibles</t>
    </r>
    <r>
      <rPr>
        <b/>
        <vertAlign val="superscript"/>
        <sz val="11"/>
        <rFont val="Calibri"/>
        <family val="2"/>
        <scheme val="minor"/>
      </rPr>
      <t>2</t>
    </r>
  </si>
  <si>
    <r>
      <rPr>
        <vertAlign val="superscript"/>
        <sz val="11"/>
        <rFont val="Calibri"/>
        <family val="2"/>
        <scheme val="minor"/>
      </rPr>
      <t>2</t>
    </r>
    <r>
      <rPr>
        <sz val="11"/>
        <rFont val="Calibri"/>
        <family val="2"/>
        <scheme val="minor"/>
      </rPr>
      <t xml:space="preserve"> Henkel 2009 Annual Report, Note 11</t>
    </r>
  </si>
</sst>
</file>

<file path=xl/styles.xml><?xml version="1.0" encoding="utf-8"?>
<styleSheet xmlns="http://schemas.openxmlformats.org/spreadsheetml/2006/main">
  <numFmts count="4">
    <numFmt numFmtId="43" formatCode="_(* #,##0.00_);_(* \(#,##0.00\);_(* &quot;-&quot;??_);_(@_)"/>
    <numFmt numFmtId="164" formatCode="0.0%"/>
    <numFmt numFmtId="165" formatCode="#,##0.0_);\(#,##0.0\)"/>
    <numFmt numFmtId="166" formatCode="#,##0\ ;\(#,##0.0\)"/>
  </numFmts>
  <fonts count="12">
    <font>
      <sz val="10"/>
      <name val="Arial"/>
    </font>
    <font>
      <sz val="10"/>
      <name val="Arial"/>
      <family val="2"/>
    </font>
    <font>
      <sz val="10"/>
      <name val="Helvetica"/>
    </font>
    <font>
      <sz val="8"/>
      <name val="Arial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11"/>
      <color indexed="12"/>
      <name val="Calibri"/>
      <family val="2"/>
      <scheme val="minor"/>
    </font>
    <font>
      <vertAlign val="superscript"/>
      <sz val="11"/>
      <name val="Calibri"/>
      <family val="2"/>
      <scheme val="minor"/>
    </font>
    <font>
      <b/>
      <vertAlign val="superscript"/>
      <sz val="11"/>
      <name val="Calibri"/>
      <family val="2"/>
      <scheme val="minor"/>
    </font>
    <font>
      <sz val="10"/>
      <name val="Verdana"/>
    </font>
    <font>
      <sz val="10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8">
    <xf numFmtId="0" fontId="0" fillId="0" borderId="0"/>
    <xf numFmtId="166" fontId="2" fillId="0" borderId="1"/>
    <xf numFmtId="9" fontId="1" fillId="0" borderId="0" applyFont="0" applyFill="0" applyBorder="0" applyAlignment="0" applyProtection="0"/>
    <xf numFmtId="0" fontId="10" fillId="0" borderId="0"/>
    <xf numFmtId="9" fontId="1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37">
    <xf numFmtId="0" fontId="0" fillId="0" borderId="0" xfId="0"/>
    <xf numFmtId="0" fontId="4" fillId="0" borderId="0" xfId="0" applyFont="1"/>
    <xf numFmtId="0" fontId="5" fillId="0" borderId="0" xfId="0" applyFont="1"/>
    <xf numFmtId="0" fontId="5" fillId="2" borderId="1" xfId="0" applyFont="1" applyFill="1" applyBorder="1"/>
    <xf numFmtId="37" fontId="6" fillId="0" borderId="0" xfId="0" applyNumberFormat="1" applyFont="1" applyFill="1"/>
    <xf numFmtId="37" fontId="6" fillId="0" borderId="0" xfId="0" applyNumberFormat="1" applyFont="1"/>
    <xf numFmtId="0" fontId="4" fillId="0" borderId="1" xfId="0" applyFont="1" applyBorder="1"/>
    <xf numFmtId="37" fontId="6" fillId="0" borderId="1" xfId="0" applyNumberFormat="1" applyFont="1" applyFill="1" applyBorder="1"/>
    <xf numFmtId="37" fontId="4" fillId="0" borderId="0" xfId="0" applyNumberFormat="1" applyFont="1"/>
    <xf numFmtId="37" fontId="4" fillId="0" borderId="0" xfId="0" applyNumberFormat="1" applyFont="1" applyFill="1"/>
    <xf numFmtId="0" fontId="4" fillId="0" borderId="0" xfId="0" applyFont="1" applyBorder="1"/>
    <xf numFmtId="37" fontId="6" fillId="0" borderId="0" xfId="0" applyNumberFormat="1" applyFont="1" applyBorder="1"/>
    <xf numFmtId="37" fontId="6" fillId="0" borderId="1" xfId="0" applyNumberFormat="1" applyFont="1" applyBorder="1"/>
    <xf numFmtId="0" fontId="4" fillId="0" borderId="0" xfId="0" applyFont="1" applyFill="1"/>
    <xf numFmtId="0" fontId="4" fillId="0" borderId="1" xfId="0" applyFont="1" applyFill="1" applyBorder="1"/>
    <xf numFmtId="0" fontId="4" fillId="0" borderId="2" xfId="0" applyFont="1" applyBorder="1"/>
    <xf numFmtId="37" fontId="4" fillId="0" borderId="2" xfId="0" applyNumberFormat="1" applyFont="1" applyBorder="1"/>
    <xf numFmtId="165" fontId="4" fillId="0" borderId="0" xfId="0" applyNumberFormat="1" applyFont="1"/>
    <xf numFmtId="37" fontId="6" fillId="0" borderId="0" xfId="0" applyNumberFormat="1" applyFont="1" applyFill="1" applyBorder="1"/>
    <xf numFmtId="164" fontId="6" fillId="0" borderId="0" xfId="0" applyNumberFormat="1" applyFont="1"/>
    <xf numFmtId="164" fontId="7" fillId="0" borderId="0" xfId="0" applyNumberFormat="1" applyFont="1"/>
    <xf numFmtId="164" fontId="6" fillId="0" borderId="0" xfId="2" applyNumberFormat="1" applyFont="1"/>
    <xf numFmtId="164" fontId="7" fillId="0" borderId="0" xfId="2" applyNumberFormat="1" applyFont="1"/>
    <xf numFmtId="164" fontId="4" fillId="0" borderId="2" xfId="0" applyNumberFormat="1" applyFont="1" applyBorder="1"/>
    <xf numFmtId="0" fontId="5" fillId="0" borderId="1" xfId="0" applyFont="1" applyFill="1" applyBorder="1"/>
    <xf numFmtId="37" fontId="7" fillId="0" borderId="0" xfId="0" applyNumberFormat="1" applyFont="1"/>
    <xf numFmtId="37" fontId="7" fillId="0" borderId="1" xfId="0" applyNumberFormat="1" applyFont="1" applyBorder="1"/>
    <xf numFmtId="37" fontId="4" fillId="0" borderId="1" xfId="0" applyNumberFormat="1" applyFont="1" applyBorder="1"/>
    <xf numFmtId="0" fontId="4" fillId="0" borderId="0" xfId="0" applyFont="1" applyFill="1" applyBorder="1"/>
    <xf numFmtId="0" fontId="5" fillId="2" borderId="1" xfId="0" applyFont="1" applyFill="1" applyBorder="1" applyAlignment="1">
      <alignment horizontal="center"/>
    </xf>
    <xf numFmtId="0" fontId="6" fillId="0" borderId="0" xfId="0" applyFont="1" applyAlignment="1">
      <alignment horizontal="center"/>
    </xf>
    <xf numFmtId="0" fontId="6" fillId="0" borderId="0" xfId="0" applyFont="1"/>
    <xf numFmtId="0" fontId="4" fillId="0" borderId="2" xfId="0" applyFont="1" applyFill="1" applyBorder="1"/>
    <xf numFmtId="37" fontId="4" fillId="0" borderId="0" xfId="0" applyNumberFormat="1" applyFont="1" applyBorder="1"/>
    <xf numFmtId="0" fontId="5" fillId="0" borderId="1" xfId="0" applyFont="1" applyBorder="1"/>
    <xf numFmtId="0" fontId="5" fillId="0" borderId="1" xfId="0" applyFont="1" applyBorder="1" applyAlignment="1">
      <alignment horizontal="left"/>
    </xf>
    <xf numFmtId="0" fontId="5" fillId="0" borderId="1" xfId="0" applyFont="1" applyBorder="1" applyAlignment="1">
      <alignment horizontal="right"/>
    </xf>
  </cellXfs>
  <cellStyles count="8">
    <cellStyle name="comma (0)" xfId="1"/>
    <cellStyle name="Comma 2" xfId="6"/>
    <cellStyle name="Normal" xfId="0" builtinId="0"/>
    <cellStyle name="Normal 2" xfId="5"/>
    <cellStyle name="Normal 3" xfId="3"/>
    <cellStyle name="Percent" xfId="2" builtinId="5"/>
    <cellStyle name="Percent 2" xfId="7"/>
    <cellStyle name="Percent 3" xfId="4"/>
  </cellStyles>
  <dxfs count="0"/>
  <tableStyles count="0" defaultTableStyle="TableStyleMedium9"/>
  <colors>
    <mruColors>
      <color rgb="FF0000FF"/>
    </mru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P52"/>
  <sheetViews>
    <sheetView tabSelected="1" zoomScale="80" zoomScaleNormal="80" workbookViewId="0">
      <selection activeCell="A2" sqref="A2"/>
    </sheetView>
  </sheetViews>
  <sheetFormatPr defaultRowHeight="15" outlineLevelCol="1"/>
  <cols>
    <col min="1" max="1" width="38.42578125" style="1" customWidth="1"/>
    <col min="2" max="2" width="9" style="1" hidden="1" customWidth="1" outlineLevel="1"/>
    <col min="3" max="3" width="9" style="1" customWidth="1" collapsed="1"/>
    <col min="4" max="8" width="9" style="1" customWidth="1"/>
    <col min="9" max="9" width="38.5703125" style="1" customWidth="1"/>
    <col min="10" max="10" width="5" style="1" hidden="1" customWidth="1" outlineLevel="1"/>
    <col min="11" max="11" width="9" style="1" customWidth="1" collapsed="1"/>
    <col min="12" max="15" width="9" style="1" customWidth="1"/>
    <col min="16" max="16384" width="9.140625" style="1"/>
  </cols>
  <sheetData>
    <row r="2" spans="1:15">
      <c r="A2" s="2" t="s">
        <v>33</v>
      </c>
      <c r="I2" s="2" t="str">
        <f>name</f>
        <v>Henkel AG</v>
      </c>
    </row>
    <row r="3" spans="1:15">
      <c r="A3" s="1" t="s">
        <v>73</v>
      </c>
      <c r="I3" s="1" t="s">
        <v>74</v>
      </c>
    </row>
    <row r="6" spans="1:15">
      <c r="A6" s="3" t="s">
        <v>42</v>
      </c>
      <c r="B6" s="3">
        <v>2004</v>
      </c>
      <c r="C6" s="3">
        <v>2005</v>
      </c>
      <c r="D6" s="3">
        <f>C6+1</f>
        <v>2006</v>
      </c>
      <c r="E6" s="3">
        <f>D6+1</f>
        <v>2007</v>
      </c>
      <c r="F6" s="3">
        <f>E6+1</f>
        <v>2008</v>
      </c>
      <c r="G6" s="3">
        <v>2009</v>
      </c>
      <c r="I6" s="3" t="s">
        <v>51</v>
      </c>
      <c r="J6" s="3">
        <v>2004</v>
      </c>
      <c r="K6" s="3">
        <v>2005</v>
      </c>
      <c r="L6" s="3">
        <f>K6+1</f>
        <v>2006</v>
      </c>
      <c r="M6" s="3">
        <f>L6+1</f>
        <v>2007</v>
      </c>
      <c r="N6" s="3">
        <f>M6+1</f>
        <v>2008</v>
      </c>
      <c r="O6" s="3">
        <f>N6+1</f>
        <v>2009</v>
      </c>
    </row>
    <row r="7" spans="1:15">
      <c r="A7" s="1" t="s">
        <v>52</v>
      </c>
      <c r="B7" s="4">
        <v>10592</v>
      </c>
      <c r="C7" s="4">
        <v>11974</v>
      </c>
      <c r="D7" s="4">
        <v>12740</v>
      </c>
      <c r="E7" s="4">
        <v>13074</v>
      </c>
      <c r="F7" s="4">
        <v>14131</v>
      </c>
      <c r="G7" s="4">
        <v>13573</v>
      </c>
      <c r="I7" s="1" t="s">
        <v>65</v>
      </c>
      <c r="J7" s="5">
        <v>1695</v>
      </c>
      <c r="K7" s="5">
        <v>1212</v>
      </c>
      <c r="L7" s="5">
        <v>929</v>
      </c>
      <c r="M7" s="5">
        <v>1440</v>
      </c>
      <c r="N7" s="5">
        <v>338</v>
      </c>
      <c r="O7" s="5">
        <v>1110</v>
      </c>
    </row>
    <row r="8" spans="1:15">
      <c r="A8" s="6" t="s">
        <v>18</v>
      </c>
      <c r="B8" s="7">
        <v>-5615</v>
      </c>
      <c r="C8" s="7">
        <v>-6533</v>
      </c>
      <c r="D8" s="7">
        <v>-6963</v>
      </c>
      <c r="E8" s="7">
        <v>-7013</v>
      </c>
      <c r="F8" s="7">
        <v>-8190</v>
      </c>
      <c r="G8" s="7">
        <v>-7411</v>
      </c>
      <c r="I8" s="1" t="s">
        <v>30</v>
      </c>
      <c r="J8" s="5">
        <v>1196</v>
      </c>
      <c r="K8" s="5">
        <v>1232</v>
      </c>
      <c r="L8" s="5">
        <v>1325</v>
      </c>
      <c r="M8" s="5">
        <v>1283</v>
      </c>
      <c r="N8" s="5">
        <v>1482</v>
      </c>
      <c r="O8" s="5">
        <v>1218</v>
      </c>
    </row>
    <row r="9" spans="1:15">
      <c r="A9" s="1" t="s">
        <v>19</v>
      </c>
      <c r="B9" s="8">
        <f t="shared" ref="B9:G9" si="0">SUM(B7:B8)</f>
        <v>4977</v>
      </c>
      <c r="C9" s="8">
        <f t="shared" si="0"/>
        <v>5441</v>
      </c>
      <c r="D9" s="8">
        <f t="shared" si="0"/>
        <v>5777</v>
      </c>
      <c r="E9" s="8">
        <f t="shared" si="0"/>
        <v>6061</v>
      </c>
      <c r="F9" s="8">
        <f t="shared" si="0"/>
        <v>5941</v>
      </c>
      <c r="G9" s="9">
        <f t="shared" si="0"/>
        <v>6162</v>
      </c>
      <c r="I9" s="1" t="s">
        <v>104</v>
      </c>
      <c r="J9" s="5">
        <v>1743</v>
      </c>
      <c r="K9" s="5">
        <v>1794</v>
      </c>
      <c r="L9" s="5">
        <v>1868</v>
      </c>
      <c r="M9" s="5">
        <v>1694</v>
      </c>
      <c r="N9" s="5">
        <v>1847</v>
      </c>
      <c r="O9" s="5">
        <v>1721</v>
      </c>
    </row>
    <row r="10" spans="1:15">
      <c r="B10" s="8"/>
      <c r="C10" s="8"/>
      <c r="D10" s="8"/>
      <c r="E10" s="8"/>
      <c r="F10" s="8"/>
      <c r="G10" s="9"/>
      <c r="I10" s="1" t="s">
        <v>64</v>
      </c>
      <c r="J10" s="5">
        <v>107</v>
      </c>
      <c r="K10" s="5">
        <v>121</v>
      </c>
      <c r="L10" s="5">
        <v>110</v>
      </c>
      <c r="M10" s="5">
        <v>90</v>
      </c>
      <c r="N10" s="5">
        <v>202</v>
      </c>
      <c r="O10" s="5">
        <v>139</v>
      </c>
    </row>
    <row r="11" spans="1:15">
      <c r="A11" s="1" t="s">
        <v>40</v>
      </c>
      <c r="B11" s="5">
        <v>-3156</v>
      </c>
      <c r="C11" s="5">
        <v>-3409</v>
      </c>
      <c r="D11" s="5">
        <v>-3650</v>
      </c>
      <c r="E11" s="5">
        <v>-3748</v>
      </c>
      <c r="F11" s="5">
        <v>-3993</v>
      </c>
      <c r="G11" s="4">
        <v>-3926</v>
      </c>
      <c r="I11" s="1" t="s">
        <v>91</v>
      </c>
      <c r="J11" s="5">
        <v>0</v>
      </c>
      <c r="K11" s="5">
        <v>0</v>
      </c>
      <c r="L11" s="5">
        <v>124</v>
      </c>
      <c r="M11" s="5">
        <v>170</v>
      </c>
      <c r="N11" s="5">
        <v>575</v>
      </c>
      <c r="O11" s="5">
        <v>214</v>
      </c>
    </row>
    <row r="12" spans="1:15">
      <c r="A12" s="1" t="s">
        <v>62</v>
      </c>
      <c r="B12" s="5">
        <v>-272</v>
      </c>
      <c r="C12" s="5">
        <v>-324</v>
      </c>
      <c r="D12" s="5">
        <v>-340</v>
      </c>
      <c r="E12" s="5">
        <v>-350</v>
      </c>
      <c r="F12" s="5">
        <v>-429</v>
      </c>
      <c r="G12" s="4">
        <v>-396</v>
      </c>
      <c r="I12" s="10" t="s">
        <v>66</v>
      </c>
      <c r="J12" s="11">
        <v>0</v>
      </c>
      <c r="K12" s="11">
        <v>142</v>
      </c>
      <c r="L12" s="11">
        <v>14</v>
      </c>
      <c r="M12" s="11">
        <v>125</v>
      </c>
      <c r="N12" s="11">
        <v>113</v>
      </c>
      <c r="O12" s="11">
        <v>30</v>
      </c>
    </row>
    <row r="13" spans="1:15">
      <c r="A13" s="10" t="s">
        <v>27</v>
      </c>
      <c r="B13" s="5">
        <v>-570</v>
      </c>
      <c r="C13" s="5">
        <v>-627</v>
      </c>
      <c r="D13" s="5">
        <v>-697</v>
      </c>
      <c r="E13" s="5">
        <v>-664</v>
      </c>
      <c r="F13" s="5">
        <v>-825</v>
      </c>
      <c r="G13" s="4">
        <v>-735</v>
      </c>
      <c r="I13" s="6" t="s">
        <v>63</v>
      </c>
      <c r="J13" s="12">
        <v>557</v>
      </c>
      <c r="K13" s="12">
        <v>378</v>
      </c>
      <c r="L13" s="12">
        <v>312</v>
      </c>
      <c r="M13" s="12">
        <v>315</v>
      </c>
      <c r="N13" s="12">
        <v>256</v>
      </c>
      <c r="O13" s="12">
        <v>224</v>
      </c>
    </row>
    <row r="14" spans="1:15">
      <c r="A14" s="13" t="s">
        <v>38</v>
      </c>
      <c r="B14" s="4">
        <v>146</v>
      </c>
      <c r="C14" s="4">
        <v>0</v>
      </c>
      <c r="D14" s="4">
        <v>266</v>
      </c>
      <c r="E14" s="4">
        <v>109</v>
      </c>
      <c r="F14" s="4">
        <v>160</v>
      </c>
      <c r="G14" s="4">
        <v>140</v>
      </c>
      <c r="I14" s="1" t="s">
        <v>20</v>
      </c>
      <c r="J14" s="8">
        <f>SUM(J7:J13)</f>
        <v>5298</v>
      </c>
      <c r="K14" s="8">
        <f>SUM(K7:K13)</f>
        <v>4879</v>
      </c>
      <c r="L14" s="8">
        <f>SUM(L7:L13)</f>
        <v>4682</v>
      </c>
      <c r="M14" s="8">
        <f>SUM(M7:M13)</f>
        <v>5117</v>
      </c>
      <c r="N14" s="8">
        <f>SUM(N7:N13)</f>
        <v>4813</v>
      </c>
      <c r="O14" s="8">
        <v>4656</v>
      </c>
    </row>
    <row r="15" spans="1:15">
      <c r="A15" s="14" t="s">
        <v>39</v>
      </c>
      <c r="B15" s="7">
        <f>-103-200-22</f>
        <v>-325</v>
      </c>
      <c r="C15" s="7">
        <v>0</v>
      </c>
      <c r="D15" s="7">
        <v>-58</v>
      </c>
      <c r="E15" s="7">
        <v>-64</v>
      </c>
      <c r="F15" s="7">
        <v>-75</v>
      </c>
      <c r="G15" s="7">
        <v>-165</v>
      </c>
    </row>
    <row r="16" spans="1:15">
      <c r="A16" s="1" t="s">
        <v>37</v>
      </c>
      <c r="B16" s="8">
        <f t="shared" ref="B16:G16" si="1">SUM(B9:B15)</f>
        <v>800</v>
      </c>
      <c r="C16" s="8">
        <f t="shared" si="1"/>
        <v>1081</v>
      </c>
      <c r="D16" s="8">
        <f t="shared" si="1"/>
        <v>1298</v>
      </c>
      <c r="E16" s="8">
        <f t="shared" si="1"/>
        <v>1344</v>
      </c>
      <c r="F16" s="8">
        <f t="shared" si="1"/>
        <v>779</v>
      </c>
      <c r="G16" s="9">
        <f t="shared" si="1"/>
        <v>1080</v>
      </c>
      <c r="I16" s="1" t="s">
        <v>103</v>
      </c>
      <c r="J16" s="5">
        <f>1808-J19-J20</f>
        <v>770</v>
      </c>
      <c r="K16" s="5">
        <f>2045-K19-K20</f>
        <v>1364</v>
      </c>
      <c r="L16" s="5">
        <f>2078-L19-L20</f>
        <v>1516</v>
      </c>
      <c r="M16" s="5">
        <f>2077-M19-M20</f>
        <v>1749</v>
      </c>
      <c r="N16" s="5">
        <f>2361-N19-N20</f>
        <v>2337</v>
      </c>
      <c r="O16" s="5">
        <v>2248</v>
      </c>
    </row>
    <row r="17" spans="1:16">
      <c r="I17" s="1" t="s">
        <v>44</v>
      </c>
      <c r="J17" s="5">
        <v>4554</v>
      </c>
      <c r="K17" s="5">
        <v>5660</v>
      </c>
      <c r="L17" s="5">
        <v>5487</v>
      </c>
      <c r="M17" s="5">
        <v>4940</v>
      </c>
      <c r="N17" s="5">
        <v>8392</v>
      </c>
      <c r="O17" s="5">
        <v>8218</v>
      </c>
    </row>
    <row r="18" spans="1:16">
      <c r="A18" s="10" t="s">
        <v>75</v>
      </c>
      <c r="B18" s="11">
        <f>-408+1770-242+162+2</f>
        <v>1284</v>
      </c>
      <c r="C18" s="11">
        <f>183-78-24+72+18</f>
        <v>171</v>
      </c>
      <c r="D18" s="11">
        <v>54</v>
      </c>
      <c r="E18" s="11">
        <f>88-4</f>
        <v>84</v>
      </c>
      <c r="F18" s="11">
        <v>1123</v>
      </c>
      <c r="G18" s="11">
        <v>-4</v>
      </c>
      <c r="J18" s="8"/>
      <c r="K18" s="8"/>
      <c r="L18" s="8"/>
      <c r="M18" s="8"/>
      <c r="N18" s="8"/>
      <c r="O18" s="8"/>
    </row>
    <row r="19" spans="1:16">
      <c r="A19" s="6" t="s">
        <v>41</v>
      </c>
      <c r="B19" s="12">
        <v>-163</v>
      </c>
      <c r="C19" s="12">
        <f>70-280</f>
        <v>-210</v>
      </c>
      <c r="D19" s="12">
        <v>-176</v>
      </c>
      <c r="E19" s="12">
        <v>-178</v>
      </c>
      <c r="F19" s="12">
        <v>-275</v>
      </c>
      <c r="G19" s="12">
        <v>-191</v>
      </c>
      <c r="I19" s="1" t="s">
        <v>67</v>
      </c>
      <c r="J19" s="5">
        <v>463</v>
      </c>
      <c r="K19" s="5">
        <v>530</v>
      </c>
      <c r="L19" s="5">
        <v>496</v>
      </c>
      <c r="M19" s="5">
        <v>295</v>
      </c>
      <c r="N19" s="5">
        <v>1</v>
      </c>
      <c r="O19" s="5">
        <v>0</v>
      </c>
      <c r="P19" s="8"/>
    </row>
    <row r="20" spans="1:16">
      <c r="A20" s="1" t="s">
        <v>22</v>
      </c>
      <c r="B20" s="8">
        <f t="shared" ref="B20" si="2">B16+SUM(B19:B19)</f>
        <v>637</v>
      </c>
      <c r="C20" s="8">
        <f>C16+SUM(C18:C19)</f>
        <v>1042</v>
      </c>
      <c r="D20" s="8">
        <f>D16+SUM(D18:D19)</f>
        <v>1176</v>
      </c>
      <c r="E20" s="8">
        <f>E16+SUM(E18:E19)</f>
        <v>1250</v>
      </c>
      <c r="F20" s="8">
        <f>F16+SUM(F18:F19)</f>
        <v>1627</v>
      </c>
      <c r="G20" s="8">
        <f>G16+SUM(G18:G19)</f>
        <v>885</v>
      </c>
      <c r="I20" s="1" t="s">
        <v>68</v>
      </c>
      <c r="J20" s="5">
        <v>575</v>
      </c>
      <c r="K20" s="5">
        <v>151</v>
      </c>
      <c r="L20" s="5">
        <v>66</v>
      </c>
      <c r="M20" s="5">
        <v>33</v>
      </c>
      <c r="N20" s="5">
        <v>23</v>
      </c>
      <c r="O20" s="5">
        <v>0</v>
      </c>
    </row>
    <row r="21" spans="1:16">
      <c r="B21" s="8"/>
      <c r="C21" s="8"/>
      <c r="D21" s="8"/>
      <c r="E21" s="8"/>
      <c r="F21" s="8"/>
      <c r="G21" s="8"/>
      <c r="I21" s="1" t="s">
        <v>92</v>
      </c>
      <c r="J21" s="5">
        <v>1038</v>
      </c>
      <c r="K21" s="5">
        <v>681</v>
      </c>
      <c r="L21" s="5">
        <f>562+70</f>
        <v>632</v>
      </c>
      <c r="M21" s="5">
        <f>528+70</f>
        <v>598</v>
      </c>
      <c r="N21" s="5">
        <v>199</v>
      </c>
      <c r="O21" s="5">
        <v>360</v>
      </c>
    </row>
    <row r="22" spans="1:16">
      <c r="A22" s="6" t="s">
        <v>28</v>
      </c>
      <c r="B22" s="12">
        <v>-185</v>
      </c>
      <c r="C22" s="12">
        <v>-272</v>
      </c>
      <c r="D22" s="12">
        <v>-305</v>
      </c>
      <c r="E22" s="12">
        <v>-309</v>
      </c>
      <c r="F22" s="12">
        <v>-394</v>
      </c>
      <c r="G22" s="12">
        <v>-257</v>
      </c>
      <c r="I22" s="1" t="s">
        <v>31</v>
      </c>
      <c r="J22" s="5">
        <v>476</v>
      </c>
      <c r="K22" s="5">
        <v>456</v>
      </c>
      <c r="L22" s="5">
        <v>363</v>
      </c>
      <c r="M22" s="5">
        <v>249</v>
      </c>
      <c r="N22" s="5">
        <v>305</v>
      </c>
      <c r="O22" s="5">
        <v>322</v>
      </c>
    </row>
    <row r="23" spans="1:16" ht="15.75" thickBot="1">
      <c r="A23" s="15" t="s">
        <v>26</v>
      </c>
      <c r="B23" s="16">
        <f t="shared" ref="B23:G23" si="3">B20+B22</f>
        <v>452</v>
      </c>
      <c r="C23" s="16">
        <f t="shared" si="3"/>
        <v>770</v>
      </c>
      <c r="D23" s="16">
        <f t="shared" si="3"/>
        <v>871</v>
      </c>
      <c r="E23" s="16">
        <f t="shared" si="3"/>
        <v>941</v>
      </c>
      <c r="F23" s="16">
        <f t="shared" si="3"/>
        <v>1233</v>
      </c>
      <c r="G23" s="16">
        <f t="shared" si="3"/>
        <v>628</v>
      </c>
      <c r="I23" s="1" t="s">
        <v>69</v>
      </c>
      <c r="J23" s="5">
        <v>113</v>
      </c>
      <c r="K23" s="5">
        <v>223</v>
      </c>
      <c r="L23" s="5">
        <f>99+5</f>
        <v>104</v>
      </c>
      <c r="M23" s="5">
        <f>67</f>
        <v>67</v>
      </c>
      <c r="N23" s="5">
        <f>4</f>
        <v>4</v>
      </c>
      <c r="O23" s="5">
        <v>14</v>
      </c>
      <c r="P23" s="8"/>
    </row>
    <row r="24" spans="1:16" ht="16.5" thickTop="1" thickBot="1">
      <c r="B24" s="8"/>
      <c r="C24" s="8"/>
      <c r="D24" s="8"/>
      <c r="E24" s="8"/>
      <c r="F24" s="8"/>
      <c r="G24" s="8"/>
      <c r="I24" s="15" t="s">
        <v>21</v>
      </c>
      <c r="J24" s="16">
        <f t="shared" ref="J24:O24" si="4">J14+SUM(J16:J23)</f>
        <v>13287</v>
      </c>
      <c r="K24" s="16">
        <f t="shared" si="4"/>
        <v>13944</v>
      </c>
      <c r="L24" s="16">
        <f t="shared" si="4"/>
        <v>13346</v>
      </c>
      <c r="M24" s="16">
        <f t="shared" si="4"/>
        <v>13048</v>
      </c>
      <c r="N24" s="16">
        <f t="shared" si="4"/>
        <v>16074</v>
      </c>
      <c r="O24" s="16">
        <f t="shared" si="4"/>
        <v>15818</v>
      </c>
    </row>
    <row r="25" spans="1:16" ht="15.75" thickTop="1"/>
    <row r="26" spans="1:16">
      <c r="A26" s="2" t="s">
        <v>78</v>
      </c>
      <c r="J26" s="17"/>
      <c r="K26" s="17"/>
      <c r="L26" s="17"/>
      <c r="M26" s="17"/>
      <c r="N26" s="17"/>
      <c r="O26" s="17"/>
    </row>
    <row r="27" spans="1:16">
      <c r="A27" s="10" t="s">
        <v>77</v>
      </c>
      <c r="B27" s="11">
        <v>453</v>
      </c>
      <c r="C27" s="11">
        <v>612</v>
      </c>
      <c r="D27" s="11">
        <v>833</v>
      </c>
      <c r="E27" s="11">
        <v>877</v>
      </c>
      <c r="F27" s="11">
        <v>122</v>
      </c>
      <c r="G27" s="11">
        <v>658</v>
      </c>
      <c r="J27" s="17"/>
      <c r="K27" s="17"/>
      <c r="L27" s="17"/>
      <c r="M27" s="17"/>
      <c r="N27" s="17"/>
      <c r="O27" s="17"/>
    </row>
    <row r="28" spans="1:16">
      <c r="A28" s="10" t="s">
        <v>76</v>
      </c>
      <c r="B28" s="11">
        <v>1</v>
      </c>
      <c r="C28" s="11">
        <v>13</v>
      </c>
      <c r="D28" s="11">
        <v>16</v>
      </c>
      <c r="E28" s="11">
        <v>20</v>
      </c>
      <c r="F28" s="11">
        <v>12</v>
      </c>
      <c r="G28" s="11">
        <v>26</v>
      </c>
      <c r="I28" s="3" t="s">
        <v>9</v>
      </c>
      <c r="J28" s="3">
        <v>2004</v>
      </c>
      <c r="K28" s="3">
        <v>2005</v>
      </c>
      <c r="L28" s="3">
        <f>K28+1</f>
        <v>2006</v>
      </c>
      <c r="M28" s="3">
        <f>L28+1</f>
        <v>2007</v>
      </c>
      <c r="N28" s="3">
        <f>M28+1</f>
        <v>2008</v>
      </c>
      <c r="O28" s="3">
        <f>N28+1</f>
        <v>2009</v>
      </c>
    </row>
    <row r="29" spans="1:16" ht="15.75" thickBot="1">
      <c r="A29" s="15" t="s">
        <v>26</v>
      </c>
      <c r="B29" s="16">
        <f>SUM(B27:B28)</f>
        <v>454</v>
      </c>
      <c r="C29" s="16">
        <f t="shared" ref="C29:G29" si="5">SUM(C27:C28)</f>
        <v>625</v>
      </c>
      <c r="D29" s="16">
        <f t="shared" si="5"/>
        <v>849</v>
      </c>
      <c r="E29" s="16">
        <f t="shared" si="5"/>
        <v>897</v>
      </c>
      <c r="F29" s="16">
        <f t="shared" si="5"/>
        <v>134</v>
      </c>
      <c r="G29" s="16">
        <f t="shared" si="5"/>
        <v>684</v>
      </c>
      <c r="I29" s="1" t="s">
        <v>70</v>
      </c>
      <c r="J29" s="5">
        <v>1789</v>
      </c>
      <c r="K29" s="5">
        <v>1405</v>
      </c>
      <c r="L29" s="5">
        <v>1012</v>
      </c>
      <c r="M29" s="5">
        <v>838</v>
      </c>
      <c r="N29" s="5">
        <v>1817</v>
      </c>
      <c r="O29" s="5">
        <v>660</v>
      </c>
      <c r="P29" s="5"/>
    </row>
    <row r="30" spans="1:16" ht="15.75" thickTop="1">
      <c r="B30" s="8"/>
      <c r="C30" s="8"/>
      <c r="D30" s="8"/>
      <c r="E30" s="8"/>
      <c r="F30" s="8"/>
      <c r="G30" s="8"/>
      <c r="I30" s="1" t="s">
        <v>93</v>
      </c>
      <c r="J30" s="5">
        <v>1099</v>
      </c>
      <c r="K30" s="5">
        <v>1333</v>
      </c>
      <c r="L30" s="5">
        <v>1494</v>
      </c>
      <c r="M30" s="5">
        <v>1477</v>
      </c>
      <c r="N30" s="5">
        <v>1678</v>
      </c>
      <c r="O30" s="5">
        <v>1885</v>
      </c>
      <c r="P30" s="5"/>
    </row>
    <row r="31" spans="1:16">
      <c r="I31" s="1" t="s">
        <v>107</v>
      </c>
      <c r="J31" s="5">
        <v>0</v>
      </c>
      <c r="K31" s="5">
        <v>0</v>
      </c>
      <c r="L31" s="5">
        <f>108+27</f>
        <v>135</v>
      </c>
      <c r="M31" s="5">
        <f>152+15</f>
        <v>167</v>
      </c>
      <c r="N31" s="5">
        <v>354</v>
      </c>
      <c r="O31" s="5">
        <v>234</v>
      </c>
    </row>
    <row r="32" spans="1:16">
      <c r="A32" s="1" t="s">
        <v>90</v>
      </c>
      <c r="I32" s="1" t="s">
        <v>71</v>
      </c>
      <c r="J32" s="5">
        <v>0</v>
      </c>
      <c r="K32" s="5">
        <v>0</v>
      </c>
      <c r="L32" s="5">
        <v>93</v>
      </c>
      <c r="M32" s="5">
        <v>246</v>
      </c>
      <c r="N32" s="5">
        <v>272</v>
      </c>
      <c r="O32" s="5">
        <v>145</v>
      </c>
    </row>
    <row r="33" spans="9:16">
      <c r="I33" s="1" t="s">
        <v>105</v>
      </c>
      <c r="J33" s="5">
        <v>918</v>
      </c>
      <c r="K33" s="5">
        <v>932</v>
      </c>
      <c r="L33" s="5">
        <v>884</v>
      </c>
      <c r="M33" s="5">
        <v>763</v>
      </c>
      <c r="N33" s="5">
        <v>866</v>
      </c>
      <c r="O33" s="5">
        <v>938</v>
      </c>
    </row>
    <row r="34" spans="9:16">
      <c r="I34" s="6" t="s">
        <v>32</v>
      </c>
      <c r="J34" s="12">
        <v>361</v>
      </c>
      <c r="K34" s="12">
        <v>455</v>
      </c>
      <c r="L34" s="12">
        <v>224</v>
      </c>
      <c r="M34" s="12">
        <v>200</v>
      </c>
      <c r="N34" s="12">
        <v>306</v>
      </c>
      <c r="O34" s="12">
        <v>251</v>
      </c>
    </row>
    <row r="35" spans="9:16">
      <c r="I35" s="1" t="s">
        <v>23</v>
      </c>
      <c r="J35" s="8">
        <f t="shared" ref="J35:O35" si="6">SUM(J29:J34)</f>
        <v>4167</v>
      </c>
      <c r="K35" s="8">
        <f t="shared" si="6"/>
        <v>4125</v>
      </c>
      <c r="L35" s="8">
        <f t="shared" si="6"/>
        <v>3842</v>
      </c>
      <c r="M35" s="8">
        <f t="shared" si="6"/>
        <v>3691</v>
      </c>
      <c r="N35" s="8">
        <f t="shared" si="6"/>
        <v>5293</v>
      </c>
      <c r="O35" s="8">
        <f t="shared" si="6"/>
        <v>4113</v>
      </c>
    </row>
    <row r="37" spans="9:16">
      <c r="I37" s="1" t="s">
        <v>36</v>
      </c>
      <c r="J37" s="5">
        <v>1385</v>
      </c>
      <c r="K37" s="5">
        <v>2400</v>
      </c>
      <c r="L37" s="5">
        <v>2322</v>
      </c>
      <c r="M37" s="5">
        <v>2304</v>
      </c>
      <c r="N37" s="5">
        <v>2402</v>
      </c>
      <c r="O37" s="5">
        <v>3426</v>
      </c>
      <c r="P37" s="5"/>
    </row>
    <row r="38" spans="9:16">
      <c r="I38" s="1" t="s">
        <v>34</v>
      </c>
      <c r="J38" s="5">
        <v>2218</v>
      </c>
      <c r="K38" s="5">
        <v>1061</v>
      </c>
      <c r="L38" s="5">
        <v>788</v>
      </c>
      <c r="M38" s="5">
        <v>657</v>
      </c>
      <c r="N38" s="5">
        <v>833</v>
      </c>
      <c r="O38" s="5">
        <v>867</v>
      </c>
      <c r="P38" s="5"/>
    </row>
    <row r="39" spans="9:16">
      <c r="I39" s="1" t="s">
        <v>94</v>
      </c>
      <c r="J39" s="5">
        <v>0</v>
      </c>
      <c r="K39" s="5">
        <v>0</v>
      </c>
      <c r="L39" s="5">
        <v>118</v>
      </c>
      <c r="M39" s="5">
        <v>147</v>
      </c>
      <c r="N39" s="5">
        <v>77</v>
      </c>
      <c r="O39" s="5">
        <v>88</v>
      </c>
      <c r="P39" s="5"/>
    </row>
    <row r="40" spans="9:16">
      <c r="I40" s="10" t="s">
        <v>106</v>
      </c>
      <c r="J40" s="11">
        <f>455+599</f>
        <v>1054</v>
      </c>
      <c r="K40" s="11">
        <f>473+427</f>
        <v>900</v>
      </c>
      <c r="L40" s="11">
        <f>427+168</f>
        <v>595</v>
      </c>
      <c r="M40" s="11">
        <f>314+100</f>
        <v>414</v>
      </c>
      <c r="N40" s="11">
        <v>589</v>
      </c>
      <c r="O40" s="11">
        <f>152+367</f>
        <v>519</v>
      </c>
    </row>
    <row r="41" spans="9:16">
      <c r="I41" s="1" t="s">
        <v>35</v>
      </c>
      <c r="J41" s="5">
        <v>0</v>
      </c>
      <c r="K41" s="5">
        <v>0</v>
      </c>
      <c r="L41" s="5">
        <v>126</v>
      </c>
      <c r="M41" s="5">
        <v>119</v>
      </c>
      <c r="N41" s="5">
        <v>336</v>
      </c>
      <c r="O41" s="5">
        <v>241</v>
      </c>
      <c r="P41" s="5"/>
    </row>
    <row r="42" spans="9:16">
      <c r="I42" s="6" t="s">
        <v>0</v>
      </c>
      <c r="J42" s="12">
        <v>117</v>
      </c>
      <c r="K42" s="12">
        <v>59</v>
      </c>
      <c r="L42" s="12">
        <v>8</v>
      </c>
      <c r="M42" s="12">
        <v>10</v>
      </c>
      <c r="N42" s="12">
        <v>9</v>
      </c>
      <c r="O42" s="12">
        <v>20</v>
      </c>
      <c r="P42" s="18"/>
    </row>
    <row r="43" spans="9:16">
      <c r="I43" s="1" t="s">
        <v>24</v>
      </c>
      <c r="J43" s="8">
        <f t="shared" ref="J43:O43" si="7">SUM(J35:J42)</f>
        <v>8941</v>
      </c>
      <c r="K43" s="8">
        <f t="shared" si="7"/>
        <v>8545</v>
      </c>
      <c r="L43" s="8">
        <f t="shared" si="7"/>
        <v>7799</v>
      </c>
      <c r="M43" s="8">
        <f t="shared" si="7"/>
        <v>7342</v>
      </c>
      <c r="N43" s="8">
        <f t="shared" si="7"/>
        <v>9539</v>
      </c>
      <c r="O43" s="8">
        <f t="shared" si="7"/>
        <v>9274</v>
      </c>
    </row>
    <row r="45" spans="9:16">
      <c r="I45" s="1" t="s">
        <v>29</v>
      </c>
      <c r="J45" s="5">
        <v>16</v>
      </c>
      <c r="K45" s="5">
        <v>28</v>
      </c>
      <c r="L45" s="5">
        <v>60</v>
      </c>
      <c r="M45" s="5">
        <v>63</v>
      </c>
      <c r="N45" s="5">
        <v>51</v>
      </c>
      <c r="O45" s="5">
        <v>70</v>
      </c>
    </row>
    <row r="46" spans="9:16">
      <c r="J46" s="8"/>
      <c r="K46" s="8"/>
      <c r="L46" s="8"/>
      <c r="M46" s="8"/>
      <c r="N46" s="8"/>
      <c r="O46" s="8"/>
    </row>
    <row r="47" spans="9:16">
      <c r="I47" s="1" t="s">
        <v>1</v>
      </c>
      <c r="J47" s="5">
        <v>374</v>
      </c>
      <c r="K47" s="5">
        <v>374</v>
      </c>
      <c r="L47" s="5">
        <v>374</v>
      </c>
      <c r="M47" s="5">
        <v>438</v>
      </c>
      <c r="N47" s="5">
        <v>438</v>
      </c>
      <c r="O47" s="5">
        <v>438</v>
      </c>
    </row>
    <row r="48" spans="9:16">
      <c r="I48" s="1" t="s">
        <v>2</v>
      </c>
      <c r="J48" s="5">
        <v>652</v>
      </c>
      <c r="K48" s="5">
        <v>652</v>
      </c>
      <c r="L48" s="5">
        <v>652</v>
      </c>
      <c r="M48" s="5">
        <v>652</v>
      </c>
      <c r="N48" s="5">
        <v>652</v>
      </c>
      <c r="O48" s="5">
        <v>652</v>
      </c>
    </row>
    <row r="49" spans="9:15">
      <c r="I49" s="1" t="s">
        <v>3</v>
      </c>
      <c r="J49" s="5">
        <v>4286</v>
      </c>
      <c r="K49" s="5">
        <v>4764</v>
      </c>
      <c r="L49" s="5">
        <v>5362</v>
      </c>
      <c r="M49" s="5">
        <v>5963</v>
      </c>
      <c r="N49" s="5">
        <v>6805</v>
      </c>
      <c r="O49" s="5">
        <v>6908</v>
      </c>
    </row>
    <row r="50" spans="9:15">
      <c r="I50" s="1" t="s">
        <v>4</v>
      </c>
      <c r="J50" s="5">
        <v>-982</v>
      </c>
      <c r="K50" s="5">
        <v>-419</v>
      </c>
      <c r="L50" s="5">
        <v>-901</v>
      </c>
      <c r="M50" s="5">
        <v>-1410</v>
      </c>
      <c r="N50" s="5">
        <v>-1411</v>
      </c>
      <c r="O50" s="5">
        <v>-1524</v>
      </c>
    </row>
    <row r="51" spans="9:15" ht="15.75" thickBot="1">
      <c r="I51" s="15" t="s">
        <v>25</v>
      </c>
      <c r="J51" s="16">
        <f t="shared" ref="J51:O51" si="8">J43+SUM(J45:J50)</f>
        <v>13287</v>
      </c>
      <c r="K51" s="16">
        <f t="shared" si="8"/>
        <v>13944</v>
      </c>
      <c r="L51" s="16">
        <f t="shared" si="8"/>
        <v>13346</v>
      </c>
      <c r="M51" s="16">
        <f t="shared" si="8"/>
        <v>13048</v>
      </c>
      <c r="N51" s="16">
        <f t="shared" si="8"/>
        <v>16074</v>
      </c>
      <c r="O51" s="16">
        <f t="shared" si="8"/>
        <v>15818</v>
      </c>
    </row>
    <row r="52" spans="9:15" ht="15.75" thickTop="1"/>
  </sheetData>
  <pageMargins left="0.7" right="0.7" top="0.75" bottom="0.75" header="0.3" footer="0.3"/>
  <pageSetup orientation="portrait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2:U55"/>
  <sheetViews>
    <sheetView zoomScale="80" zoomScaleNormal="80" workbookViewId="0"/>
  </sheetViews>
  <sheetFormatPr defaultRowHeight="15" outlineLevelCol="1"/>
  <cols>
    <col min="1" max="1" width="42.85546875" style="1" customWidth="1"/>
    <col min="2" max="2" width="9.140625" style="1" hidden="1" customWidth="1" outlineLevel="1"/>
    <col min="3" max="3" width="9.140625" style="1" collapsed="1"/>
    <col min="4" max="7" width="9.140625" style="1"/>
    <col min="8" max="8" width="12.85546875" style="1" customWidth="1"/>
    <col min="22" max="16384" width="9.140625" style="1"/>
  </cols>
  <sheetData>
    <row r="2" spans="1:8" s="1" customFormat="1">
      <c r="A2" s="2" t="str">
        <f>name</f>
        <v>Henkel AG</v>
      </c>
    </row>
    <row r="3" spans="1:8" s="1" customFormat="1">
      <c r="A3" s="10" t="s">
        <v>108</v>
      </c>
    </row>
    <row r="4" spans="1:8" s="1" customFormat="1">
      <c r="A4" s="28"/>
    </row>
    <row r="6" spans="1:8" s="1" customFormat="1">
      <c r="A6" s="3" t="s">
        <v>38</v>
      </c>
      <c r="B6" s="3">
        <v>2004</v>
      </c>
      <c r="C6" s="3">
        <v>2005</v>
      </c>
      <c r="D6" s="3">
        <f>C6+1</f>
        <v>2006</v>
      </c>
      <c r="E6" s="3">
        <f>D6+1</f>
        <v>2007</v>
      </c>
      <c r="F6" s="3">
        <f>E6+1</f>
        <v>2008</v>
      </c>
      <c r="G6" s="3">
        <v>2009</v>
      </c>
      <c r="H6" s="29" t="s">
        <v>96</v>
      </c>
    </row>
    <row r="7" spans="1:8" s="1" customFormat="1">
      <c r="A7" s="1" t="s">
        <v>85</v>
      </c>
      <c r="B7" s="8"/>
      <c r="C7" s="4">
        <v>9</v>
      </c>
      <c r="D7" s="4">
        <v>44</v>
      </c>
      <c r="E7" s="4">
        <v>14</v>
      </c>
      <c r="F7" s="4">
        <v>14</v>
      </c>
      <c r="G7" s="4">
        <v>10</v>
      </c>
      <c r="H7" s="30"/>
    </row>
    <row r="8" spans="1:8" s="1" customFormat="1">
      <c r="A8" s="1" t="s">
        <v>86</v>
      </c>
      <c r="B8" s="8"/>
      <c r="C8" s="4">
        <v>0</v>
      </c>
      <c r="D8" s="4">
        <v>57</v>
      </c>
      <c r="E8" s="4">
        <v>0</v>
      </c>
      <c r="F8" s="4">
        <v>8</v>
      </c>
      <c r="G8" s="4">
        <v>0</v>
      </c>
      <c r="H8" s="30"/>
    </row>
    <row r="9" spans="1:8" s="1" customFormat="1">
      <c r="A9" s="1" t="s">
        <v>87</v>
      </c>
      <c r="B9" s="8"/>
      <c r="C9" s="4">
        <v>31</v>
      </c>
      <c r="D9" s="4">
        <f>58+43</f>
        <v>101</v>
      </c>
      <c r="E9" s="4">
        <v>35</v>
      </c>
      <c r="F9" s="4">
        <v>44</v>
      </c>
      <c r="G9" s="4">
        <v>38</v>
      </c>
      <c r="H9" s="30" t="s">
        <v>97</v>
      </c>
    </row>
    <row r="10" spans="1:8" s="1" customFormat="1">
      <c r="A10" s="1" t="s">
        <v>84</v>
      </c>
      <c r="B10" s="8"/>
      <c r="C10" s="4">
        <v>4</v>
      </c>
      <c r="D10" s="4">
        <v>4</v>
      </c>
      <c r="E10" s="4">
        <v>6</v>
      </c>
      <c r="F10" s="4">
        <v>6</v>
      </c>
      <c r="G10" s="4">
        <v>2</v>
      </c>
      <c r="H10" s="30" t="s">
        <v>97</v>
      </c>
    </row>
    <row r="11" spans="1:8" s="1" customFormat="1">
      <c r="A11" s="1" t="s">
        <v>88</v>
      </c>
      <c r="B11" s="8"/>
      <c r="C11" s="4">
        <v>7</v>
      </c>
      <c r="D11" s="4">
        <v>1</v>
      </c>
      <c r="E11" s="4">
        <v>3</v>
      </c>
      <c r="F11" s="4">
        <v>0</v>
      </c>
      <c r="G11" s="4">
        <v>3</v>
      </c>
      <c r="H11" s="30"/>
    </row>
    <row r="12" spans="1:8" s="1" customFormat="1">
      <c r="A12" s="1" t="s">
        <v>109</v>
      </c>
      <c r="B12" s="8"/>
      <c r="C12" s="4">
        <v>37</v>
      </c>
      <c r="D12" s="4">
        <v>32</v>
      </c>
      <c r="E12" s="4">
        <v>0</v>
      </c>
      <c r="F12" s="4">
        <v>0</v>
      </c>
      <c r="G12" s="4">
        <v>0</v>
      </c>
      <c r="H12" s="30"/>
    </row>
    <row r="13" spans="1:8" s="1" customFormat="1">
      <c r="A13" s="6" t="s">
        <v>89</v>
      </c>
      <c r="B13" s="27"/>
      <c r="C13" s="7">
        <v>95</v>
      </c>
      <c r="D13" s="7">
        <v>59</v>
      </c>
      <c r="E13" s="7">
        <v>51</v>
      </c>
      <c r="F13" s="7">
        <v>88</v>
      </c>
      <c r="G13" s="7">
        <v>87</v>
      </c>
      <c r="H13" s="30" t="s">
        <v>97</v>
      </c>
    </row>
    <row r="14" spans="1:8" s="1" customFormat="1">
      <c r="A14" s="1" t="s">
        <v>38</v>
      </c>
      <c r="B14" s="8"/>
      <c r="C14" s="9">
        <f>SUM(C7:C13)</f>
        <v>183</v>
      </c>
      <c r="D14" s="9">
        <f>SUM(D7:D13)</f>
        <v>298</v>
      </c>
      <c r="E14" s="9">
        <f>SUM(E7:E13)</f>
        <v>109</v>
      </c>
      <c r="F14" s="9">
        <f>SUM(F7:F13)</f>
        <v>160</v>
      </c>
      <c r="G14" s="9">
        <f>SUM(G7:G13)</f>
        <v>140</v>
      </c>
      <c r="H14" s="30"/>
    </row>
    <row r="15" spans="1:8" s="1" customFormat="1">
      <c r="B15" s="8"/>
      <c r="C15" s="8"/>
      <c r="D15" s="8"/>
      <c r="E15" s="8"/>
      <c r="F15" s="8"/>
      <c r="G15" s="9"/>
      <c r="H15" s="30"/>
    </row>
    <row r="16" spans="1:8" s="1" customFormat="1">
      <c r="G16" s="13"/>
      <c r="H16" s="30"/>
    </row>
    <row r="17" spans="1:8" s="1" customFormat="1">
      <c r="A17" s="2" t="s">
        <v>79</v>
      </c>
      <c r="B17" s="8"/>
      <c r="C17" s="8"/>
      <c r="D17" s="8"/>
      <c r="E17" s="8"/>
      <c r="F17" s="8"/>
      <c r="G17" s="9"/>
      <c r="H17" s="30"/>
    </row>
    <row r="18" spans="1:8" s="1" customFormat="1">
      <c r="A18" s="1" t="s">
        <v>80</v>
      </c>
      <c r="B18" s="5"/>
      <c r="C18" s="5">
        <v>6</v>
      </c>
      <c r="D18" s="5">
        <v>2</v>
      </c>
      <c r="E18" s="5">
        <v>5</v>
      </c>
      <c r="F18" s="5">
        <v>4</v>
      </c>
      <c r="G18" s="4">
        <v>0</v>
      </c>
      <c r="H18" s="30"/>
    </row>
    <row r="19" spans="1:8" s="1" customFormat="1">
      <c r="A19" s="1" t="s">
        <v>110</v>
      </c>
      <c r="B19" s="5"/>
      <c r="C19" s="5">
        <v>31</v>
      </c>
      <c r="D19" s="5">
        <v>35</v>
      </c>
      <c r="E19" s="5">
        <v>0</v>
      </c>
      <c r="F19" s="5">
        <v>0</v>
      </c>
      <c r="G19" s="4">
        <v>0</v>
      </c>
      <c r="H19" s="30"/>
    </row>
    <row r="20" spans="1:8" s="1" customFormat="1">
      <c r="A20" s="1" t="s">
        <v>81</v>
      </c>
      <c r="B20" s="5"/>
      <c r="C20" s="5">
        <v>3</v>
      </c>
      <c r="D20" s="5">
        <v>7</v>
      </c>
      <c r="E20" s="5">
        <v>6</v>
      </c>
      <c r="F20" s="5">
        <v>17</v>
      </c>
      <c r="G20" s="4">
        <v>22</v>
      </c>
      <c r="H20" s="30"/>
    </row>
    <row r="21" spans="1:8" s="1" customFormat="1">
      <c r="A21" s="1" t="s">
        <v>82</v>
      </c>
      <c r="B21" s="5"/>
      <c r="C21" s="5">
        <v>0</v>
      </c>
      <c r="D21" s="5">
        <v>0</v>
      </c>
      <c r="E21" s="5">
        <v>9</v>
      </c>
      <c r="F21" s="5">
        <v>0</v>
      </c>
      <c r="G21" s="4">
        <v>46</v>
      </c>
      <c r="H21" s="30"/>
    </row>
    <row r="22" spans="1:8" s="1" customFormat="1">
      <c r="A22" s="6" t="s">
        <v>83</v>
      </c>
      <c r="B22" s="12"/>
      <c r="C22" s="12">
        <v>38</v>
      </c>
      <c r="D22" s="12">
        <v>46</v>
      </c>
      <c r="E22" s="12">
        <v>44</v>
      </c>
      <c r="F22" s="12">
        <v>54</v>
      </c>
      <c r="G22" s="7">
        <v>97</v>
      </c>
      <c r="H22" s="30" t="s">
        <v>97</v>
      </c>
    </row>
    <row r="23" spans="1:8" s="1" customFormat="1">
      <c r="A23" s="1" t="s">
        <v>79</v>
      </c>
      <c r="B23" s="5"/>
      <c r="C23" s="9">
        <f>SUM(C18:C22)</f>
        <v>78</v>
      </c>
      <c r="D23" s="9">
        <f>SUM(D18:D22)</f>
        <v>90</v>
      </c>
      <c r="E23" s="9">
        <f>SUM(E18:E22)</f>
        <v>64</v>
      </c>
      <c r="F23" s="9">
        <f>SUM(F18:F22)</f>
        <v>75</v>
      </c>
      <c r="G23" s="9">
        <f>SUM(G18:G22)</f>
        <v>165</v>
      </c>
      <c r="H23" s="31"/>
    </row>
    <row r="24" spans="1:8" s="1" customFormat="1">
      <c r="G24" s="13"/>
    </row>
    <row r="25" spans="1:8" s="1" customFormat="1">
      <c r="G25" s="13"/>
    </row>
    <row r="26" spans="1:8" s="1" customFormat="1">
      <c r="A26" s="34" t="s">
        <v>108</v>
      </c>
      <c r="B26" s="24"/>
      <c r="C26" s="24">
        <f>C6</f>
        <v>2005</v>
      </c>
      <c r="D26" s="24">
        <f t="shared" ref="D26:G26" si="0">D6</f>
        <v>2006</v>
      </c>
      <c r="E26" s="24">
        <f t="shared" si="0"/>
        <v>2007</v>
      </c>
      <c r="F26" s="24">
        <f t="shared" si="0"/>
        <v>2008</v>
      </c>
      <c r="G26" s="24">
        <f t="shared" si="0"/>
        <v>2009</v>
      </c>
    </row>
    <row r="27" spans="1:8" s="1" customFormat="1">
      <c r="A27" s="10" t="s">
        <v>38</v>
      </c>
      <c r="B27" s="10"/>
      <c r="C27" s="33">
        <f t="shared" ref="C27:F27" si="1">SUMIF($H$7:$H$13, "=yes", C7:C13)</f>
        <v>130</v>
      </c>
      <c r="D27" s="33">
        <f t="shared" si="1"/>
        <v>164</v>
      </c>
      <c r="E27" s="33">
        <f t="shared" si="1"/>
        <v>92</v>
      </c>
      <c r="F27" s="33">
        <f t="shared" si="1"/>
        <v>138</v>
      </c>
      <c r="G27" s="33">
        <f>SUMIF($H$7:$H$13, "=yes", G7:G13)</f>
        <v>127</v>
      </c>
    </row>
    <row r="28" spans="1:8" s="1" customFormat="1">
      <c r="A28" s="6" t="s">
        <v>98</v>
      </c>
      <c r="B28" s="6"/>
      <c r="C28" s="27">
        <f t="shared" ref="C28:F28" si="2">-SUMIF($H$18:$H$22, "=yes",C18:C22)</f>
        <v>-38</v>
      </c>
      <c r="D28" s="27">
        <f t="shared" si="2"/>
        <v>-46</v>
      </c>
      <c r="E28" s="27">
        <f t="shared" si="2"/>
        <v>-44</v>
      </c>
      <c r="F28" s="27">
        <f t="shared" si="2"/>
        <v>-54</v>
      </c>
      <c r="G28" s="27">
        <f>-SUMIF($H$18:$H$22, "=yes",G18:G22)</f>
        <v>-97</v>
      </c>
    </row>
    <row r="29" spans="1:8" s="1" customFormat="1" ht="15.75" thickBot="1">
      <c r="A29" s="15" t="s">
        <v>108</v>
      </c>
      <c r="B29" s="15"/>
      <c r="C29" s="16">
        <f t="shared" ref="C29:F29" si="3">SUM(C27:C28)</f>
        <v>92</v>
      </c>
      <c r="D29" s="16">
        <f t="shared" si="3"/>
        <v>118</v>
      </c>
      <c r="E29" s="16">
        <f t="shared" si="3"/>
        <v>48</v>
      </c>
      <c r="F29" s="16">
        <f t="shared" si="3"/>
        <v>84</v>
      </c>
      <c r="G29" s="16">
        <f>SUM(G27:G28)</f>
        <v>30</v>
      </c>
    </row>
    <row r="30" spans="1:8" s="1" customFormat="1" ht="15.75" thickTop="1">
      <c r="A30" s="10"/>
      <c r="B30" s="10"/>
      <c r="C30" s="10"/>
      <c r="D30" s="10"/>
      <c r="E30" s="10"/>
      <c r="F30" s="10"/>
      <c r="G30" s="10"/>
    </row>
    <row r="31" spans="1:8" s="1" customFormat="1">
      <c r="A31" s="10"/>
      <c r="B31" s="10"/>
      <c r="C31" s="10"/>
      <c r="D31" s="10"/>
      <c r="E31" s="10"/>
      <c r="F31" s="10"/>
      <c r="G31" s="10"/>
    </row>
    <row r="32" spans="1:8" s="1" customFormat="1">
      <c r="A32" s="10"/>
      <c r="B32" s="10"/>
      <c r="C32" s="10"/>
      <c r="D32" s="10"/>
      <c r="E32" s="10"/>
      <c r="F32" s="10"/>
      <c r="G32" s="10"/>
    </row>
    <row r="33" spans="1:7" s="1" customFormat="1">
      <c r="A33" s="2" t="str">
        <f>name</f>
        <v>Henkel AG</v>
      </c>
    </row>
    <row r="34" spans="1:7" s="1" customFormat="1">
      <c r="A34" s="1" t="s">
        <v>99</v>
      </c>
    </row>
    <row r="36" spans="1:7" s="1" customFormat="1">
      <c r="A36" s="3" t="s">
        <v>42</v>
      </c>
      <c r="B36" s="3">
        <v>2004</v>
      </c>
      <c r="C36" s="3">
        <v>2005</v>
      </c>
      <c r="D36" s="3">
        <f>C36+1</f>
        <v>2006</v>
      </c>
      <c r="E36" s="3">
        <f>D36+1</f>
        <v>2007</v>
      </c>
      <c r="F36" s="3">
        <f>E36+1</f>
        <v>2008</v>
      </c>
      <c r="G36" s="3">
        <v>2009</v>
      </c>
    </row>
    <row r="37" spans="1:7" s="1" customFormat="1">
      <c r="A37" s="10" t="s">
        <v>18</v>
      </c>
      <c r="F37" s="5">
        <v>373</v>
      </c>
      <c r="G37" s="5">
        <v>70</v>
      </c>
    </row>
    <row r="38" spans="1:7" s="1" customFormat="1">
      <c r="A38" s="1" t="s">
        <v>40</v>
      </c>
      <c r="F38" s="5">
        <v>111</v>
      </c>
      <c r="G38" s="5">
        <v>52</v>
      </c>
    </row>
    <row r="39" spans="1:7" s="1" customFormat="1">
      <c r="A39" s="1" t="s">
        <v>62</v>
      </c>
      <c r="F39" s="5">
        <v>52</v>
      </c>
      <c r="G39" s="5">
        <v>13</v>
      </c>
    </row>
    <row r="40" spans="1:7" s="1" customFormat="1">
      <c r="A40" s="6" t="s">
        <v>27</v>
      </c>
      <c r="B40" s="6"/>
      <c r="C40" s="6"/>
      <c r="D40" s="6"/>
      <c r="E40" s="6"/>
      <c r="F40" s="12">
        <v>127</v>
      </c>
      <c r="G40" s="12">
        <v>24</v>
      </c>
    </row>
    <row r="41" spans="1:7" s="1" customFormat="1" ht="15.75" thickBot="1">
      <c r="A41" s="32" t="s">
        <v>99</v>
      </c>
      <c r="B41" s="15"/>
      <c r="C41" s="15"/>
      <c r="D41" s="15"/>
      <c r="E41" s="15"/>
      <c r="F41" s="16">
        <f>SUM(F37:F40)</f>
        <v>663</v>
      </c>
      <c r="G41" s="16">
        <f>SUM(G37:G40)</f>
        <v>159</v>
      </c>
    </row>
    <row r="42" spans="1:7" s="1" customFormat="1" ht="15.75" thickTop="1"/>
    <row r="44" spans="1:7" s="1" customFormat="1">
      <c r="A44" s="1" t="s">
        <v>100</v>
      </c>
    </row>
    <row r="45" spans="1:7" s="1" customFormat="1">
      <c r="A45" s="1" t="s">
        <v>101</v>
      </c>
    </row>
    <row r="46" spans="1:7" s="1" customFormat="1">
      <c r="A46" s="1" t="s">
        <v>102</v>
      </c>
    </row>
    <row r="49" spans="1:7" s="1" customFormat="1">
      <c r="A49" s="2" t="str">
        <f>name</f>
        <v>Henkel AG</v>
      </c>
    </row>
    <row r="50" spans="1:7" s="1" customFormat="1">
      <c r="A50" s="1" t="s">
        <v>112</v>
      </c>
    </row>
    <row r="52" spans="1:7" s="1" customFormat="1">
      <c r="A52" s="3" t="s">
        <v>42</v>
      </c>
      <c r="B52" s="3">
        <v>2004</v>
      </c>
      <c r="C52" s="3">
        <v>2005</v>
      </c>
      <c r="D52" s="3">
        <f>C52+1</f>
        <v>2006</v>
      </c>
      <c r="E52" s="3">
        <f>D52+1</f>
        <v>2007</v>
      </c>
      <c r="F52" s="3">
        <f>E52+1</f>
        <v>2008</v>
      </c>
      <c r="G52" s="3">
        <v>2009</v>
      </c>
    </row>
    <row r="53" spans="1:7" s="1" customFormat="1">
      <c r="A53" s="1" t="s">
        <v>111</v>
      </c>
      <c r="B53" s="5">
        <v>268</v>
      </c>
      <c r="C53" s="5">
        <v>49</v>
      </c>
      <c r="D53" s="5">
        <v>53</v>
      </c>
      <c r="E53" s="5">
        <v>56</v>
      </c>
      <c r="F53" s="5">
        <v>95</v>
      </c>
      <c r="G53" s="5">
        <v>108</v>
      </c>
    </row>
    <row r="55" spans="1:7">
      <c r="A55" s="1" t="s">
        <v>115</v>
      </c>
    </row>
  </sheetData>
  <pageMargins left="0.7" right="0.7" top="0.75" bottom="0.75" header="0.3" footer="0.3"/>
  <pageSetup orientation="portrait" r:id="rId1"/>
  <ignoredErrors>
    <ignoredError sqref="G14" formulaRange="1"/>
  </ignoredErrors>
</worksheet>
</file>

<file path=xl/worksheets/sheet4.xml><?xml version="1.0" encoding="utf-8"?>
<worksheet xmlns="http://schemas.openxmlformats.org/spreadsheetml/2006/main" xmlns:r="http://schemas.openxmlformats.org/officeDocument/2006/relationships">
  <sheetPr codeName="Sheet4" enableFormatConditionsCalculation="0"/>
  <dimension ref="A2:Q32"/>
  <sheetViews>
    <sheetView zoomScale="80" zoomScaleNormal="80" zoomScalePageLayoutView="85" workbookViewId="0">
      <selection activeCell="G1" sqref="G1:G1048576"/>
    </sheetView>
  </sheetViews>
  <sheetFormatPr defaultColWidth="8.85546875" defaultRowHeight="15" outlineLevelCol="1"/>
  <cols>
    <col min="1" max="1" width="29.5703125" style="1" customWidth="1"/>
    <col min="2" max="2" width="9.140625" style="1" hidden="1" customWidth="1" outlineLevel="1"/>
    <col min="3" max="3" width="9.140625" style="1" customWidth="1" collapsed="1"/>
    <col min="4" max="7" width="9.140625" style="1" customWidth="1"/>
    <col min="8" max="9" width="8.85546875" style="1"/>
    <col min="10" max="10" width="33.42578125" style="1" customWidth="1"/>
    <col min="11" max="12" width="0" style="1" hidden="1" customWidth="1" outlineLevel="1"/>
    <col min="13" max="13" width="8.85546875" style="1" collapsed="1"/>
    <col min="14" max="16384" width="8.85546875" style="1"/>
  </cols>
  <sheetData>
    <row r="2" spans="1:17">
      <c r="A2" s="2" t="str">
        <f>Financials!A2</f>
        <v>Henkel AG</v>
      </c>
      <c r="J2" s="2" t="s">
        <v>33</v>
      </c>
    </row>
    <row r="3" spans="1:17">
      <c r="A3" s="1" t="s">
        <v>5</v>
      </c>
      <c r="J3" s="1" t="s">
        <v>10</v>
      </c>
    </row>
    <row r="4" spans="1:17">
      <c r="A4" s="2"/>
    </row>
    <row r="5" spans="1:17">
      <c r="A5" s="3" t="s">
        <v>49</v>
      </c>
      <c r="B5" s="3">
        <v>2004</v>
      </c>
      <c r="C5" s="3">
        <f>B5+1</f>
        <v>2005</v>
      </c>
      <c r="D5" s="3">
        <f t="shared" ref="D5:E5" si="0">C5+1</f>
        <v>2006</v>
      </c>
      <c r="E5" s="3">
        <f t="shared" si="0"/>
        <v>2007</v>
      </c>
      <c r="F5" s="3">
        <f>E5+1</f>
        <v>2008</v>
      </c>
      <c r="G5" s="3">
        <f>F5+1</f>
        <v>2009</v>
      </c>
      <c r="J5" s="3" t="s">
        <v>16</v>
      </c>
      <c r="K5" s="3">
        <v>2003</v>
      </c>
      <c r="L5" s="3">
        <f t="shared" ref="L5:Q5" si="1">K5+1</f>
        <v>2004</v>
      </c>
      <c r="M5" s="3">
        <f t="shared" si="1"/>
        <v>2005</v>
      </c>
      <c r="N5" s="3">
        <f t="shared" si="1"/>
        <v>2006</v>
      </c>
      <c r="O5" s="3">
        <f t="shared" si="1"/>
        <v>2007</v>
      </c>
      <c r="P5" s="3">
        <f t="shared" si="1"/>
        <v>2008</v>
      </c>
      <c r="Q5" s="3">
        <f t="shared" si="1"/>
        <v>2009</v>
      </c>
    </row>
    <row r="6" spans="1:17">
      <c r="A6" s="1" t="s">
        <v>53</v>
      </c>
      <c r="B6" s="19">
        <v>-7.0000000000000001E-3</v>
      </c>
      <c r="C6" s="19">
        <v>0.03</v>
      </c>
      <c r="D6" s="19">
        <v>4.5999999999999999E-2</v>
      </c>
      <c r="E6" s="19">
        <v>5.8000000000000003E-2</v>
      </c>
      <c r="F6" s="20">
        <v>0.03</v>
      </c>
      <c r="G6" s="20">
        <v>-3.5000000000000003E-2</v>
      </c>
      <c r="J6" s="1" t="s">
        <v>11</v>
      </c>
      <c r="K6" s="5">
        <v>34189</v>
      </c>
      <c r="L6" s="5">
        <v>33692</v>
      </c>
      <c r="M6" s="5">
        <v>33731</v>
      </c>
      <c r="N6" s="5">
        <v>33799</v>
      </c>
      <c r="O6" s="5">
        <v>34168</v>
      </c>
      <c r="P6" s="5">
        <v>33485</v>
      </c>
      <c r="Q6" s="25">
        <v>30933</v>
      </c>
    </row>
    <row r="7" spans="1:17">
      <c r="A7" s="1" t="s">
        <v>54</v>
      </c>
      <c r="B7" s="19">
        <v>-3.6999999999999998E-2</v>
      </c>
      <c r="C7" s="19">
        <v>0.01</v>
      </c>
      <c r="D7" s="19">
        <v>-1E-3</v>
      </c>
      <c r="E7" s="19">
        <v>-2.7E-2</v>
      </c>
      <c r="F7" s="20">
        <v>-3.5000000000000003E-2</v>
      </c>
      <c r="G7" s="20">
        <v>-2.4E-2</v>
      </c>
      <c r="J7" s="1" t="s">
        <v>12</v>
      </c>
      <c r="K7" s="5">
        <v>4181</v>
      </c>
      <c r="L7" s="5">
        <v>6772</v>
      </c>
      <c r="M7" s="5">
        <v>7271</v>
      </c>
      <c r="N7" s="5">
        <v>6651</v>
      </c>
      <c r="O7" s="5">
        <v>6438</v>
      </c>
      <c r="P7" s="5">
        <v>7360</v>
      </c>
      <c r="Q7" s="25">
        <v>5714</v>
      </c>
    </row>
    <row r="8" spans="1:17">
      <c r="A8" s="1" t="s">
        <v>55</v>
      </c>
      <c r="B8" s="21">
        <v>0.13100000000000001</v>
      </c>
      <c r="C8" s="21">
        <v>8.5000000000000006E-2</v>
      </c>
      <c r="D8" s="21">
        <v>5.0000000000000001E-3</v>
      </c>
      <c r="E8" s="21">
        <v>-5.0000000000000001E-3</v>
      </c>
      <c r="F8" s="22">
        <v>8.5999999999999993E-2</v>
      </c>
      <c r="G8" s="22">
        <v>0.02</v>
      </c>
      <c r="J8" s="1" t="s">
        <v>13</v>
      </c>
      <c r="K8" s="5">
        <v>3946</v>
      </c>
      <c r="L8" s="5">
        <v>4325</v>
      </c>
      <c r="M8" s="5">
        <v>4208</v>
      </c>
      <c r="N8" s="5">
        <v>4297</v>
      </c>
      <c r="O8" s="5">
        <v>4268</v>
      </c>
      <c r="P8" s="5">
        <v>4293</v>
      </c>
      <c r="Q8" s="25">
        <v>4002</v>
      </c>
    </row>
    <row r="9" spans="1:17" ht="15.75" thickBot="1">
      <c r="A9" s="15" t="s">
        <v>56</v>
      </c>
      <c r="B9" s="23">
        <f>SUM(B6:B8)</f>
        <v>8.7000000000000008E-2</v>
      </c>
      <c r="C9" s="23">
        <f>SUM(C6:C8)</f>
        <v>0.125</v>
      </c>
      <c r="D9" s="23">
        <f>SUM(D6:D8)</f>
        <v>4.9999999999999996E-2</v>
      </c>
      <c r="E9" s="23">
        <f>SUM(E6:E8)</f>
        <v>2.6000000000000002E-2</v>
      </c>
      <c r="F9" s="23">
        <f t="shared" ref="F9:G9" si="2">SUM(F6:F8)</f>
        <v>8.0999999999999989E-2</v>
      </c>
      <c r="G9" s="23">
        <f t="shared" si="2"/>
        <v>-3.9000000000000007E-2</v>
      </c>
      <c r="J9" s="6" t="s">
        <v>14</v>
      </c>
      <c r="K9" s="12">
        <v>6312</v>
      </c>
      <c r="L9" s="12">
        <v>6411</v>
      </c>
      <c r="M9" s="12">
        <v>7355</v>
      </c>
      <c r="N9" s="12">
        <v>7545</v>
      </c>
      <c r="O9" s="12">
        <v>8235</v>
      </c>
      <c r="P9" s="12">
        <v>10004</v>
      </c>
      <c r="Q9" s="26">
        <v>8613</v>
      </c>
    </row>
    <row r="10" spans="1:17" ht="15.75" thickTop="1">
      <c r="J10" s="1" t="s">
        <v>15</v>
      </c>
      <c r="K10" s="8">
        <f t="shared" ref="K10:Q10" si="3">SUM(K6:K9)</f>
        <v>48628</v>
      </c>
      <c r="L10" s="8">
        <f t="shared" si="3"/>
        <v>51200</v>
      </c>
      <c r="M10" s="8">
        <f t="shared" si="3"/>
        <v>52565</v>
      </c>
      <c r="N10" s="8">
        <f t="shared" si="3"/>
        <v>52292</v>
      </c>
      <c r="O10" s="8">
        <f t="shared" si="3"/>
        <v>53109</v>
      </c>
      <c r="P10" s="8">
        <f t="shared" si="3"/>
        <v>55142</v>
      </c>
      <c r="Q10" s="8">
        <f t="shared" si="3"/>
        <v>49262</v>
      </c>
    </row>
    <row r="12" spans="1:17">
      <c r="A12" s="24" t="s">
        <v>6</v>
      </c>
      <c r="B12" s="24">
        <f>B5</f>
        <v>2004</v>
      </c>
      <c r="C12" s="24">
        <f t="shared" ref="C12:G12" si="4">C5</f>
        <v>2005</v>
      </c>
      <c r="D12" s="24">
        <f t="shared" si="4"/>
        <v>2006</v>
      </c>
      <c r="E12" s="24">
        <f t="shared" si="4"/>
        <v>2007</v>
      </c>
      <c r="F12" s="24">
        <f t="shared" si="4"/>
        <v>2008</v>
      </c>
      <c r="G12" s="24">
        <f t="shared" si="4"/>
        <v>2009</v>
      </c>
    </row>
    <row r="13" spans="1:17">
      <c r="A13" s="1" t="s">
        <v>53</v>
      </c>
      <c r="B13" s="19">
        <v>-7.0000000000000001E-3</v>
      </c>
      <c r="C13" s="19">
        <v>0.03</v>
      </c>
      <c r="D13" s="19">
        <v>4.5999999999999999E-2</v>
      </c>
      <c r="E13" s="19">
        <v>5.5E-2</v>
      </c>
      <c r="F13" s="20">
        <v>3.7999999999999999E-2</v>
      </c>
      <c r="G13" s="20">
        <v>2.9000000000000001E-2</v>
      </c>
      <c r="J13" s="24" t="s">
        <v>61</v>
      </c>
      <c r="K13" s="24">
        <v>2003</v>
      </c>
      <c r="L13" s="24">
        <v>2004</v>
      </c>
      <c r="M13" s="24">
        <v>2005</v>
      </c>
      <c r="N13" s="24">
        <v>2006</v>
      </c>
      <c r="O13" s="24">
        <v>2007</v>
      </c>
      <c r="P13" s="24">
        <v>2008</v>
      </c>
      <c r="Q13" s="24">
        <v>2009</v>
      </c>
    </row>
    <row r="14" spans="1:17">
      <c r="A14" s="1" t="s">
        <v>54</v>
      </c>
      <c r="B14" s="19">
        <v>-4.2000000000000003E-2</v>
      </c>
      <c r="C14" s="19">
        <v>8.0000000000000002E-3</v>
      </c>
      <c r="D14" s="19">
        <v>-3.0000000000000001E-3</v>
      </c>
      <c r="E14" s="19">
        <v>-2.3E-2</v>
      </c>
      <c r="F14" s="20">
        <v>-2.4E-2</v>
      </c>
      <c r="G14" s="20">
        <v>-3.9E-2</v>
      </c>
      <c r="J14" s="1" t="s">
        <v>57</v>
      </c>
      <c r="K14" s="8"/>
      <c r="L14" s="8"/>
      <c r="M14" s="8"/>
      <c r="N14" s="8"/>
      <c r="O14" s="5">
        <f>0.47*O$10</f>
        <v>24961.23</v>
      </c>
      <c r="P14" s="5">
        <f>0.47*P$10</f>
        <v>25916.739999999998</v>
      </c>
      <c r="Q14" s="25">
        <v>24138</v>
      </c>
    </row>
    <row r="15" spans="1:17">
      <c r="A15" s="1" t="s">
        <v>55</v>
      </c>
      <c r="B15" s="21">
        <v>0.22600000000000001</v>
      </c>
      <c r="C15" s="21">
        <v>9.1999999999999998E-2</v>
      </c>
      <c r="D15" s="21">
        <v>-3.9E-2</v>
      </c>
      <c r="E15" s="21">
        <v>-2.4E-2</v>
      </c>
      <c r="F15" s="22">
        <v>-8.0000000000000002E-3</v>
      </c>
      <c r="G15" s="22">
        <v>0</v>
      </c>
      <c r="J15" s="1" t="s">
        <v>58</v>
      </c>
      <c r="K15" s="8"/>
      <c r="L15" s="8"/>
      <c r="M15" s="8"/>
      <c r="N15" s="8"/>
      <c r="O15" s="5">
        <f>0.05*O$10</f>
        <v>2655.4500000000003</v>
      </c>
      <c r="P15" s="5">
        <f>0.05*P$10</f>
        <v>2757.1000000000004</v>
      </c>
      <c r="Q15" s="25">
        <v>2463</v>
      </c>
    </row>
    <row r="16" spans="1:17" ht="15.75" thickBot="1">
      <c r="A16" s="15" t="s">
        <v>56</v>
      </c>
      <c r="B16" s="23">
        <f>SUM(B13:B15)</f>
        <v>0.17699999999999999</v>
      </c>
      <c r="C16" s="23">
        <f>SUM(C13:C15)</f>
        <v>0.13</v>
      </c>
      <c r="D16" s="23">
        <f>SUM(D13:D15)</f>
        <v>3.9999999999999966E-3</v>
      </c>
      <c r="E16" s="23">
        <f>SUM(E13:E15)</f>
        <v>8.0000000000000002E-3</v>
      </c>
      <c r="F16" s="23">
        <f t="shared" ref="F16:G16" si="5">SUM(F13:F15)</f>
        <v>5.9999999999999984E-3</v>
      </c>
      <c r="G16" s="23">
        <f t="shared" si="5"/>
        <v>-9.9999999999999985E-3</v>
      </c>
      <c r="J16" s="1" t="s">
        <v>59</v>
      </c>
      <c r="K16" s="8"/>
      <c r="L16" s="8"/>
      <c r="M16" s="8"/>
      <c r="N16" s="8"/>
      <c r="O16" s="5">
        <f>0.16*O$10</f>
        <v>8497.44</v>
      </c>
      <c r="P16" s="5">
        <f>0.17*P$10</f>
        <v>9374.1400000000012</v>
      </c>
      <c r="Q16" s="25">
        <v>6897</v>
      </c>
    </row>
    <row r="17" spans="1:17" ht="15.75" thickTop="1">
      <c r="J17" s="6" t="s">
        <v>60</v>
      </c>
      <c r="K17" s="27"/>
      <c r="L17" s="27"/>
      <c r="M17" s="27"/>
      <c r="N17" s="27"/>
      <c r="O17" s="12">
        <f>0.32*O$10</f>
        <v>16994.88</v>
      </c>
      <c r="P17" s="12">
        <f>0.31*P$10</f>
        <v>17094.02</v>
      </c>
      <c r="Q17" s="26">
        <v>15764</v>
      </c>
    </row>
    <row r="18" spans="1:17">
      <c r="O18" s="8">
        <f>SUM(O14:O17)</f>
        <v>53109</v>
      </c>
      <c r="P18" s="8">
        <f>SUM(P14:P17)</f>
        <v>55142</v>
      </c>
      <c r="Q18" s="8">
        <f>SUM(Q14:Q17)</f>
        <v>49262</v>
      </c>
    </row>
    <row r="19" spans="1:17">
      <c r="A19" s="24" t="s">
        <v>8</v>
      </c>
      <c r="B19" s="24">
        <f>B5</f>
        <v>2004</v>
      </c>
      <c r="C19" s="24">
        <f t="shared" ref="C19:G19" si="6">C5</f>
        <v>2005</v>
      </c>
      <c r="D19" s="24">
        <f t="shared" si="6"/>
        <v>2006</v>
      </c>
      <c r="E19" s="24">
        <f t="shared" si="6"/>
        <v>2007</v>
      </c>
      <c r="F19" s="24">
        <f t="shared" si="6"/>
        <v>2008</v>
      </c>
      <c r="G19" s="24">
        <f t="shared" si="6"/>
        <v>2009</v>
      </c>
    </row>
    <row r="20" spans="1:17">
      <c r="A20" s="1" t="s">
        <v>53</v>
      </c>
      <c r="B20" s="19">
        <v>1.7999999999999999E-2</v>
      </c>
      <c r="C20" s="19">
        <v>1.2999999999999999E-2</v>
      </c>
      <c r="D20" s="19">
        <v>4.1000000000000002E-2</v>
      </c>
      <c r="E20" s="19">
        <v>5.8999999999999997E-2</v>
      </c>
      <c r="F20" s="20">
        <v>4.7E-2</v>
      </c>
      <c r="G20" s="20">
        <v>3.5000000000000003E-2</v>
      </c>
    </row>
    <row r="21" spans="1:17">
      <c r="A21" s="1" t="s">
        <v>54</v>
      </c>
      <c r="B21" s="19">
        <v>-3.1E-2</v>
      </c>
      <c r="C21" s="19">
        <v>8.0000000000000002E-3</v>
      </c>
      <c r="D21" s="19">
        <v>-2E-3</v>
      </c>
      <c r="E21" s="19">
        <v>-2.4E-2</v>
      </c>
      <c r="F21" s="20">
        <v>-2.7E-2</v>
      </c>
      <c r="G21" s="20">
        <v>-2.7E-2</v>
      </c>
      <c r="J21" s="24" t="s">
        <v>45</v>
      </c>
      <c r="K21" s="24">
        <v>2003</v>
      </c>
      <c r="L21" s="24">
        <v>2004</v>
      </c>
      <c r="M21" s="24">
        <v>2005</v>
      </c>
      <c r="N21" s="24">
        <v>2006</v>
      </c>
      <c r="O21" s="24">
        <v>2007</v>
      </c>
      <c r="P21" s="24">
        <v>2008</v>
      </c>
      <c r="Q21" s="24">
        <v>2009</v>
      </c>
    </row>
    <row r="22" spans="1:17">
      <c r="A22" s="1" t="s">
        <v>55</v>
      </c>
      <c r="B22" s="21">
        <v>0.2</v>
      </c>
      <c r="C22" s="21">
        <v>4.1000000000000002E-2</v>
      </c>
      <c r="D22" s="21">
        <v>5.8000000000000003E-2</v>
      </c>
      <c r="E22" s="21">
        <v>3.0000000000000001E-3</v>
      </c>
      <c r="F22" s="22">
        <v>-5.0000000000000001E-3</v>
      </c>
      <c r="G22" s="22">
        <v>-0.01</v>
      </c>
      <c r="J22" s="1" t="s">
        <v>46</v>
      </c>
      <c r="O22" s="5">
        <f>0.44*O$10</f>
        <v>23367.96</v>
      </c>
      <c r="P22" s="5">
        <f>0.48*P$10</f>
        <v>26468.16</v>
      </c>
      <c r="Q22" s="25">
        <v>24138</v>
      </c>
    </row>
    <row r="23" spans="1:17" ht="15.75" thickBot="1">
      <c r="A23" s="15" t="s">
        <v>56</v>
      </c>
      <c r="B23" s="23">
        <f>SUM(B20:B22)</f>
        <v>0.187</v>
      </c>
      <c r="C23" s="23">
        <f>SUM(C20:C22)</f>
        <v>6.2E-2</v>
      </c>
      <c r="D23" s="23">
        <f>SUM(D20:D22)</f>
        <v>9.7000000000000003E-2</v>
      </c>
      <c r="E23" s="23">
        <f>SUM(E20:E22)</f>
        <v>3.7999999999999999E-2</v>
      </c>
      <c r="F23" s="23">
        <f t="shared" ref="F23:G23" si="7">SUM(F20:F22)</f>
        <v>1.4999999999999999E-2</v>
      </c>
      <c r="G23" s="23">
        <f t="shared" si="7"/>
        <v>-1.9999999999999966E-3</v>
      </c>
      <c r="J23" s="1" t="s">
        <v>6</v>
      </c>
      <c r="O23" s="5">
        <f>0.26*O$10</f>
        <v>13808.34</v>
      </c>
      <c r="P23" s="5">
        <f>0.24*P$10</f>
        <v>13234.08</v>
      </c>
      <c r="Q23" s="25">
        <v>11331</v>
      </c>
    </row>
    <row r="24" spans="1:17" ht="15.75" thickTop="1">
      <c r="J24" s="1" t="s">
        <v>47</v>
      </c>
      <c r="O24" s="5">
        <f>0.16*O$10</f>
        <v>8497.44</v>
      </c>
      <c r="P24" s="5">
        <f>0.15*P$10</f>
        <v>8271.2999999999993</v>
      </c>
      <c r="Q24" s="25">
        <v>7389</v>
      </c>
    </row>
    <row r="25" spans="1:17">
      <c r="J25" s="6" t="s">
        <v>48</v>
      </c>
      <c r="K25" s="6"/>
      <c r="L25" s="6"/>
      <c r="M25" s="6"/>
      <c r="N25" s="6"/>
      <c r="O25" s="12">
        <f>0.14*O$10</f>
        <v>7435.2600000000011</v>
      </c>
      <c r="P25" s="12">
        <f>0.13*P$10</f>
        <v>7168.46</v>
      </c>
      <c r="Q25" s="26">
        <v>6404</v>
      </c>
    </row>
    <row r="26" spans="1:17">
      <c r="A26" s="24" t="s">
        <v>7</v>
      </c>
      <c r="B26" s="24">
        <f>B5</f>
        <v>2004</v>
      </c>
      <c r="C26" s="24">
        <f t="shared" ref="C26:G26" si="8">C5</f>
        <v>2005</v>
      </c>
      <c r="D26" s="24">
        <f t="shared" si="8"/>
        <v>2006</v>
      </c>
      <c r="E26" s="24">
        <f t="shared" si="8"/>
        <v>2007</v>
      </c>
      <c r="F26" s="24">
        <f t="shared" si="8"/>
        <v>2008</v>
      </c>
      <c r="G26" s="24">
        <f t="shared" si="8"/>
        <v>2009</v>
      </c>
      <c r="O26" s="8">
        <f>SUM(O22:O25)</f>
        <v>53109.000000000007</v>
      </c>
      <c r="P26" s="8">
        <f>SUM(P22:P25)</f>
        <v>55141.999999999993</v>
      </c>
      <c r="Q26" s="8">
        <f>SUM(Q22:Q25)</f>
        <v>49262</v>
      </c>
    </row>
    <row r="27" spans="1:17">
      <c r="A27" s="1" t="s">
        <v>53</v>
      </c>
      <c r="B27" s="19">
        <v>0</v>
      </c>
      <c r="C27" s="19">
        <v>5.3999999999999999E-2</v>
      </c>
      <c r="D27" s="19">
        <v>8.5000000000000006E-2</v>
      </c>
      <c r="E27" s="19">
        <v>6.5000000000000002E-2</v>
      </c>
      <c r="F27" s="20">
        <v>1.2999999999999999E-2</v>
      </c>
      <c r="G27" s="20">
        <v>-0.10199999999999999</v>
      </c>
      <c r="J27" s="1" t="s">
        <v>95</v>
      </c>
      <c r="P27" s="8"/>
    </row>
    <row r="28" spans="1:17">
      <c r="A28" s="1" t="s">
        <v>54</v>
      </c>
      <c r="B28" s="19">
        <f>(-3.7%*(1446/(1446+2971)))+(-4.1%*(2971/(1446+2971)))</f>
        <v>-3.9690513923477472E-2</v>
      </c>
      <c r="C28" s="19">
        <f>(1.9%*(1742/(1742+3266)))+(1.3%*(3266/(1742+3266)))</f>
        <v>1.50870607028754E-2</v>
      </c>
      <c r="D28" s="19">
        <f>(0.1%*(1940/(1940+3488)))+(0%*(3488/(1940+3488)))</f>
        <v>3.5740604274134117E-4</v>
      </c>
      <c r="E28" s="19">
        <v>-3.3000000000000002E-2</v>
      </c>
      <c r="F28" s="20">
        <v>-4.8000000000000001E-2</v>
      </c>
      <c r="G28" s="20">
        <v>-1.4E-2</v>
      </c>
    </row>
    <row r="29" spans="1:17">
      <c r="A29" s="1" t="s">
        <v>55</v>
      </c>
      <c r="B29" s="19">
        <f>(8.4%*(1446/(1446+2971)))+(1.1%*(2971/(1446+2971)))</f>
        <v>3.4898120896536114E-2</v>
      </c>
      <c r="C29" s="19">
        <f>(13.6%*(1742/(1742+3266)))+(10.2%*(3266/(1742+3266)))</f>
        <v>0.11382667731629392</v>
      </c>
      <c r="D29" s="19">
        <f>(4.4%*(1940/(1940+3488)))+(-0.4%*(3488/(1940+3488)))</f>
        <v>1.3155490051584378E-2</v>
      </c>
      <c r="E29" s="21">
        <v>4.0000000000000001E-3</v>
      </c>
      <c r="F29" s="22">
        <v>0.20799999999999999</v>
      </c>
      <c r="G29" s="22">
        <v>4.4999999999999998E-2</v>
      </c>
    </row>
    <row r="30" spans="1:17" ht="15.75" thickBot="1">
      <c r="A30" s="15" t="s">
        <v>56</v>
      </c>
      <c r="B30" s="23">
        <f>SUM(B27:B29)</f>
        <v>-4.7923930269413578E-3</v>
      </c>
      <c r="C30" s="23">
        <f>SUM(C27:C29)</f>
        <v>0.18291373801916933</v>
      </c>
      <c r="D30" s="23">
        <f>SUM(D27:D29)</f>
        <v>9.851289609432573E-2</v>
      </c>
      <c r="E30" s="23">
        <f>SUM(E27:E29)</f>
        <v>3.6000000000000004E-2</v>
      </c>
      <c r="F30" s="23">
        <f t="shared" ref="F30:G30" si="9">SUM(F27:F29)</f>
        <v>0.17299999999999999</v>
      </c>
      <c r="G30" s="23">
        <f t="shared" si="9"/>
        <v>-7.0999999999999994E-2</v>
      </c>
    </row>
    <row r="31" spans="1:17" ht="15.75" thickTop="1"/>
    <row r="32" spans="1:17">
      <c r="A32" s="1" t="s">
        <v>50</v>
      </c>
    </row>
  </sheetData>
  <phoneticPr fontId="3" type="noConversion"/>
  <pageMargins left="0.7" right="0.7" top="0.75" bottom="0.75" header="0.3" footer="0.3"/>
  <pageSetup orientation="portrait" horizontalDpi="1200" verticalDpi="1200" r:id="rId1"/>
  <extLst>
    <ext xmlns:mx="http://schemas.microsoft.com/office/mac/excel/2008/main" uri="http://schemas.microsoft.com/office/mac/excel/2008/main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>
  <dimension ref="A2:S44"/>
  <sheetViews>
    <sheetView zoomScale="85" zoomScaleNormal="85" workbookViewId="0">
      <selection activeCell="R10" sqref="R10"/>
    </sheetView>
  </sheetViews>
  <sheetFormatPr defaultRowHeight="15"/>
  <cols>
    <col min="1" max="1" width="26" style="1" customWidth="1"/>
    <col min="2" max="7" width="9.140625" style="1"/>
    <col min="8" max="8" width="24.140625" style="1" customWidth="1"/>
    <col min="9" max="16384" width="9.140625" style="1"/>
  </cols>
  <sheetData>
    <row r="2" spans="1:19">
      <c r="A2" s="2" t="str">
        <f>name</f>
        <v>Henkel AG</v>
      </c>
    </row>
    <row r="3" spans="1:19">
      <c r="A3" s="1" t="s">
        <v>113</v>
      </c>
    </row>
    <row r="4" spans="1:19">
      <c r="A4" s="2"/>
    </row>
    <row r="5" spans="1:19" ht="17.25">
      <c r="A5" s="2" t="s">
        <v>118</v>
      </c>
      <c r="H5" s="2" t="s">
        <v>117</v>
      </c>
      <c r="O5"/>
      <c r="P5"/>
      <c r="Q5"/>
      <c r="R5"/>
      <c r="S5"/>
    </row>
    <row r="6" spans="1:19">
      <c r="O6"/>
      <c r="P6"/>
      <c r="Q6"/>
      <c r="R6"/>
      <c r="S6"/>
    </row>
    <row r="7" spans="1:19">
      <c r="A7" s="35" t="s">
        <v>43</v>
      </c>
      <c r="B7" s="36">
        <v>2005</v>
      </c>
      <c r="C7" s="36">
        <f>B7+1</f>
        <v>2006</v>
      </c>
      <c r="D7" s="36">
        <f>C7+1</f>
        <v>2007</v>
      </c>
      <c r="E7" s="36">
        <f>D7+1</f>
        <v>2008</v>
      </c>
      <c r="F7" s="36">
        <f>E7+1</f>
        <v>2009</v>
      </c>
      <c r="H7" s="35" t="s">
        <v>43</v>
      </c>
      <c r="I7" s="36">
        <v>2005</v>
      </c>
      <c r="J7" s="36">
        <f>I7+1</f>
        <v>2006</v>
      </c>
      <c r="K7" s="36">
        <f>J7+1</f>
        <v>2007</v>
      </c>
      <c r="L7" s="36">
        <f>K7+1</f>
        <v>2008</v>
      </c>
      <c r="M7" s="36">
        <f>L7+1</f>
        <v>2009</v>
      </c>
      <c r="O7"/>
      <c r="P7"/>
      <c r="Q7"/>
      <c r="R7"/>
      <c r="S7"/>
    </row>
    <row r="8" spans="1:19">
      <c r="A8" s="1" t="s">
        <v>6</v>
      </c>
      <c r="B8" s="5">
        <v>4088</v>
      </c>
      <c r="C8" s="5">
        <v>4117</v>
      </c>
      <c r="D8" s="5">
        <v>4148</v>
      </c>
      <c r="E8" s="5">
        <v>4172</v>
      </c>
      <c r="F8" s="5">
        <v>4129</v>
      </c>
      <c r="H8" s="1" t="s">
        <v>6</v>
      </c>
      <c r="I8" s="8">
        <f t="shared" ref="I8:M11" si="0">I38-I28</f>
        <v>1496</v>
      </c>
      <c r="J8" s="8">
        <f t="shared" si="0"/>
        <v>1423</v>
      </c>
      <c r="K8" s="8">
        <f t="shared" si="0"/>
        <v>1402</v>
      </c>
      <c r="L8" s="8">
        <f t="shared" si="0"/>
        <v>1211</v>
      </c>
      <c r="M8" s="8">
        <f t="shared" si="0"/>
        <v>1198</v>
      </c>
      <c r="O8"/>
      <c r="P8"/>
      <c r="Q8"/>
      <c r="R8"/>
      <c r="S8"/>
    </row>
    <row r="9" spans="1:19">
      <c r="A9" s="1" t="s">
        <v>47</v>
      </c>
      <c r="B9" s="5">
        <v>2629</v>
      </c>
      <c r="C9" s="5">
        <v>2864</v>
      </c>
      <c r="D9" s="5">
        <v>2972</v>
      </c>
      <c r="E9" s="5">
        <v>3016</v>
      </c>
      <c r="F9" s="5">
        <v>3010</v>
      </c>
      <c r="H9" s="1" t="s">
        <v>47</v>
      </c>
      <c r="I9" s="8">
        <f t="shared" si="0"/>
        <v>1126</v>
      </c>
      <c r="J9" s="8">
        <f t="shared" si="0"/>
        <v>1226</v>
      </c>
      <c r="K9" s="8">
        <f t="shared" si="0"/>
        <v>1234</v>
      </c>
      <c r="L9" s="8">
        <f t="shared" si="0"/>
        <v>1097</v>
      </c>
      <c r="M9" s="8">
        <f t="shared" si="0"/>
        <v>1094</v>
      </c>
      <c r="O9"/>
      <c r="P9"/>
      <c r="Q9"/>
      <c r="R9"/>
      <c r="S9"/>
    </row>
    <row r="10" spans="1:19">
      <c r="A10" s="1" t="s">
        <v>17</v>
      </c>
      <c r="B10" s="5">
        <v>5008</v>
      </c>
      <c r="C10" s="5">
        <v>5510</v>
      </c>
      <c r="D10" s="5">
        <v>5711</v>
      </c>
      <c r="E10" s="5">
        <v>6700</v>
      </c>
      <c r="F10" s="5">
        <v>6224</v>
      </c>
      <c r="H10" s="1" t="s">
        <v>17</v>
      </c>
      <c r="I10" s="8">
        <f t="shared" si="0"/>
        <v>2717</v>
      </c>
      <c r="J10" s="8">
        <f t="shared" si="0"/>
        <v>2500</v>
      </c>
      <c r="K10" s="8">
        <f t="shared" si="0"/>
        <v>2640</v>
      </c>
      <c r="L10" s="8">
        <f t="shared" si="0"/>
        <v>4930</v>
      </c>
      <c r="M10" s="8">
        <f t="shared" si="0"/>
        <v>3283</v>
      </c>
      <c r="O10"/>
      <c r="P10"/>
      <c r="Q10"/>
      <c r="R10"/>
      <c r="S10"/>
    </row>
    <row r="11" spans="1:19">
      <c r="A11" s="1" t="s">
        <v>72</v>
      </c>
      <c r="B11" s="5">
        <v>249</v>
      </c>
      <c r="C11" s="5">
        <v>249</v>
      </c>
      <c r="D11" s="5">
        <v>0</v>
      </c>
      <c r="E11" s="5">
        <v>243</v>
      </c>
      <c r="F11" s="5">
        <v>210</v>
      </c>
      <c r="H11" s="1" t="s">
        <v>72</v>
      </c>
      <c r="I11" s="8">
        <f t="shared" si="0"/>
        <v>-167</v>
      </c>
      <c r="J11" s="8">
        <f t="shared" si="0"/>
        <v>24</v>
      </c>
      <c r="K11" s="8">
        <f t="shared" si="0"/>
        <v>76</v>
      </c>
      <c r="L11" s="8">
        <f t="shared" si="0"/>
        <v>-24</v>
      </c>
      <c r="M11" s="8">
        <f t="shared" si="0"/>
        <v>-181</v>
      </c>
      <c r="O11"/>
      <c r="P11"/>
      <c r="Q11"/>
      <c r="R11"/>
      <c r="S11"/>
    </row>
    <row r="12" spans="1:19" ht="15.75" thickBot="1">
      <c r="A12" s="15" t="s">
        <v>15</v>
      </c>
      <c r="B12" s="16">
        <f>SUM(B8:B11)</f>
        <v>11974</v>
      </c>
      <c r="C12" s="16">
        <f t="shared" ref="C12:F12" si="1">SUM(C8:C11)</f>
        <v>12740</v>
      </c>
      <c r="D12" s="16">
        <f t="shared" si="1"/>
        <v>12831</v>
      </c>
      <c r="E12" s="16">
        <f t="shared" si="1"/>
        <v>14131</v>
      </c>
      <c r="F12" s="16">
        <f t="shared" si="1"/>
        <v>13573</v>
      </c>
      <c r="H12" s="15" t="s">
        <v>15</v>
      </c>
      <c r="I12" s="16">
        <f>SUM(I8:I11)</f>
        <v>5172</v>
      </c>
      <c r="J12" s="16">
        <f t="shared" ref="J12" si="2">SUM(J8:J11)</f>
        <v>5173</v>
      </c>
      <c r="K12" s="16">
        <f t="shared" ref="K12" si="3">SUM(K8:K11)</f>
        <v>5352</v>
      </c>
      <c r="L12" s="16">
        <f t="shared" ref="L12" si="4">SUM(L8:L11)</f>
        <v>7214</v>
      </c>
      <c r="M12" s="16">
        <f t="shared" ref="M12" si="5">SUM(M8:M11)</f>
        <v>5394</v>
      </c>
      <c r="O12"/>
      <c r="P12"/>
      <c r="Q12"/>
      <c r="R12"/>
      <c r="S12"/>
    </row>
    <row r="13" spans="1:19" ht="15.75" thickTop="1"/>
    <row r="14" spans="1:19">
      <c r="B14" s="8"/>
      <c r="C14" s="8"/>
      <c r="D14" s="8"/>
      <c r="E14" s="8"/>
      <c r="F14" s="8"/>
      <c r="I14" s="8"/>
      <c r="J14" s="8"/>
      <c r="K14" s="8"/>
      <c r="L14" s="8"/>
      <c r="M14" s="8"/>
      <c r="O14" s="8"/>
      <c r="P14" s="8"/>
      <c r="Q14" s="8"/>
      <c r="R14" s="8"/>
      <c r="S14" s="8"/>
    </row>
    <row r="15" spans="1:19" ht="17.25">
      <c r="A15" s="2" t="s">
        <v>119</v>
      </c>
      <c r="H15" s="2" t="s">
        <v>122</v>
      </c>
    </row>
    <row r="17" spans="1:13">
      <c r="A17" s="35" t="s">
        <v>43</v>
      </c>
      <c r="B17" s="36">
        <v>2005</v>
      </c>
      <c r="C17" s="36">
        <f>B17+1</f>
        <v>2006</v>
      </c>
      <c r="D17" s="36">
        <f>C17+1</f>
        <v>2007</v>
      </c>
      <c r="E17" s="36">
        <f>D17+1</f>
        <v>2008</v>
      </c>
      <c r="F17" s="36">
        <f>E17+1</f>
        <v>2009</v>
      </c>
      <c r="H17" s="35" t="s">
        <v>43</v>
      </c>
      <c r="I17" s="36">
        <v>2005</v>
      </c>
      <c r="J17" s="36">
        <f>I17+1</f>
        <v>2006</v>
      </c>
      <c r="K17" s="36">
        <f>J17+1</f>
        <v>2007</v>
      </c>
      <c r="L17" s="36">
        <f>K17+1</f>
        <v>2008</v>
      </c>
      <c r="M17" s="36">
        <f>L17+1</f>
        <v>2009</v>
      </c>
    </row>
    <row r="18" spans="1:13">
      <c r="A18" s="1" t="s">
        <v>6</v>
      </c>
      <c r="B18" s="5">
        <v>433</v>
      </c>
      <c r="C18" s="5">
        <v>449</v>
      </c>
      <c r="D18" s="5">
        <v>459</v>
      </c>
      <c r="E18" s="5">
        <v>439</v>
      </c>
      <c r="F18" s="5">
        <v>501</v>
      </c>
      <c r="H18" s="1" t="s">
        <v>6</v>
      </c>
      <c r="I18" s="5">
        <v>684</v>
      </c>
      <c r="J18" s="5">
        <v>589</v>
      </c>
      <c r="K18" s="5">
        <v>548</v>
      </c>
      <c r="L18" s="5">
        <v>578</v>
      </c>
      <c r="M18" s="5">
        <f>560</f>
        <v>560</v>
      </c>
    </row>
    <row r="19" spans="1:13">
      <c r="A19" s="1" t="s">
        <v>47</v>
      </c>
      <c r="B19" s="5">
        <v>321</v>
      </c>
      <c r="C19" s="5">
        <v>359</v>
      </c>
      <c r="D19" s="5">
        <v>372</v>
      </c>
      <c r="E19" s="5">
        <v>376</v>
      </c>
      <c r="F19" s="5">
        <v>387</v>
      </c>
      <c r="H19" s="1" t="s">
        <v>47</v>
      </c>
      <c r="I19" s="5">
        <v>361</v>
      </c>
      <c r="J19" s="5">
        <v>526</v>
      </c>
      <c r="K19" s="5">
        <v>458</v>
      </c>
      <c r="L19" s="5">
        <v>479</v>
      </c>
      <c r="M19" s="5">
        <f>463</f>
        <v>463</v>
      </c>
    </row>
    <row r="20" spans="1:13">
      <c r="A20" s="1" t="s">
        <v>17</v>
      </c>
      <c r="B20" s="5">
        <v>530</v>
      </c>
      <c r="C20" s="5">
        <v>579</v>
      </c>
      <c r="D20" s="5">
        <v>621</v>
      </c>
      <c r="E20" s="5">
        <v>658</v>
      </c>
      <c r="F20" s="5">
        <v>290</v>
      </c>
      <c r="H20" s="1" t="s">
        <v>17</v>
      </c>
      <c r="I20" s="5">
        <v>4</v>
      </c>
      <c r="J20" s="5">
        <v>51</v>
      </c>
      <c r="K20" s="5">
        <v>47</v>
      </c>
      <c r="L20" s="5">
        <v>140</v>
      </c>
      <c r="M20" s="5">
        <f>124</f>
        <v>124</v>
      </c>
    </row>
    <row r="21" spans="1:13">
      <c r="A21" s="1" t="s">
        <v>72</v>
      </c>
      <c r="B21" s="5">
        <v>-122</v>
      </c>
      <c r="C21" s="5">
        <v>-89</v>
      </c>
      <c r="D21" s="5">
        <v>0</v>
      </c>
      <c r="E21" s="5">
        <v>-694</v>
      </c>
      <c r="F21" s="5">
        <v>-98</v>
      </c>
      <c r="H21" s="1" t="s">
        <v>72</v>
      </c>
      <c r="I21" s="5">
        <v>0</v>
      </c>
      <c r="J21" s="5">
        <v>0</v>
      </c>
      <c r="K21" s="5">
        <v>0</v>
      </c>
      <c r="L21" s="5">
        <v>0</v>
      </c>
      <c r="M21" s="5">
        <v>0</v>
      </c>
    </row>
    <row r="22" spans="1:13" ht="15.75" thickBot="1">
      <c r="A22" s="15" t="s">
        <v>15</v>
      </c>
      <c r="B22" s="16">
        <f>SUM(B18:B21)</f>
        <v>1162</v>
      </c>
      <c r="C22" s="16">
        <f t="shared" ref="C22" si="6">SUM(C18:C21)</f>
        <v>1298</v>
      </c>
      <c r="D22" s="16">
        <f t="shared" ref="D22" si="7">SUM(D18:D21)</f>
        <v>1452</v>
      </c>
      <c r="E22" s="16">
        <f t="shared" ref="E22" si="8">SUM(E18:E21)</f>
        <v>779</v>
      </c>
      <c r="F22" s="16">
        <f t="shared" ref="F22" si="9">SUM(F18:F21)</f>
        <v>1080</v>
      </c>
      <c r="H22" s="15" t="s">
        <v>15</v>
      </c>
      <c r="I22" s="16">
        <f>SUM(I18:I21)</f>
        <v>1049</v>
      </c>
      <c r="J22" s="16">
        <f t="shared" ref="J22" si="10">SUM(J18:J21)</f>
        <v>1166</v>
      </c>
      <c r="K22" s="16">
        <f t="shared" ref="K22" si="11">SUM(K18:K21)</f>
        <v>1053</v>
      </c>
      <c r="L22" s="16">
        <f t="shared" ref="L22" si="12">SUM(L18:L21)</f>
        <v>1197</v>
      </c>
      <c r="M22" s="16">
        <f t="shared" ref="M22" si="13">SUM(M18:M21)</f>
        <v>1147</v>
      </c>
    </row>
    <row r="23" spans="1:13" ht="15.75" thickTop="1"/>
    <row r="24" spans="1:13">
      <c r="B24" s="8"/>
      <c r="C24" s="8"/>
      <c r="D24" s="8"/>
      <c r="E24" s="8"/>
      <c r="F24" s="8"/>
    </row>
    <row r="25" spans="1:13" ht="17.25">
      <c r="A25" s="2" t="s">
        <v>114</v>
      </c>
      <c r="H25" s="2" t="s">
        <v>121</v>
      </c>
    </row>
    <row r="27" spans="1:13">
      <c r="A27" s="35" t="s">
        <v>43</v>
      </c>
      <c r="B27" s="36">
        <v>2005</v>
      </c>
      <c r="C27" s="36">
        <f>B27+1</f>
        <v>2006</v>
      </c>
      <c r="D27" s="36">
        <f>C27+1</f>
        <v>2007</v>
      </c>
      <c r="E27" s="36">
        <f>D27+1</f>
        <v>2008</v>
      </c>
      <c r="F27" s="36">
        <f>E27+1</f>
        <v>2009</v>
      </c>
      <c r="H27" s="35" t="s">
        <v>43</v>
      </c>
      <c r="I27" s="36">
        <v>2005</v>
      </c>
      <c r="J27" s="36">
        <f>I27+1</f>
        <v>2006</v>
      </c>
      <c r="K27" s="36">
        <f>J27+1</f>
        <v>2007</v>
      </c>
      <c r="L27" s="36">
        <f>K27+1</f>
        <v>2008</v>
      </c>
      <c r="M27" s="36">
        <f>L27+1</f>
        <v>2009</v>
      </c>
    </row>
    <row r="28" spans="1:13">
      <c r="A28" s="1" t="s">
        <v>6</v>
      </c>
      <c r="B28" s="8">
        <f t="shared" ref="B28:E31" si="14">I18/I$22*B$32</f>
        <v>31.950428979980934</v>
      </c>
      <c r="C28" s="8">
        <f t="shared" si="14"/>
        <v>26.772727272727273</v>
      </c>
      <c r="D28" s="8">
        <f t="shared" si="14"/>
        <v>29.143399810066477</v>
      </c>
      <c r="E28" s="8">
        <f t="shared" si="14"/>
        <v>45.873015873015873</v>
      </c>
      <c r="F28" s="8">
        <f>M18/M$22*F$32</f>
        <v>52.728857890148213</v>
      </c>
      <c r="H28" s="1" t="s">
        <v>6</v>
      </c>
      <c r="I28" s="5">
        <v>1688</v>
      </c>
      <c r="J28" s="5">
        <v>1532</v>
      </c>
      <c r="K28" s="5">
        <v>1350</v>
      </c>
      <c r="L28" s="5">
        <v>1393</v>
      </c>
      <c r="M28" s="5">
        <f>1364</f>
        <v>1364</v>
      </c>
    </row>
    <row r="29" spans="1:13">
      <c r="A29" s="1" t="s">
        <v>47</v>
      </c>
      <c r="B29" s="8">
        <f t="shared" si="14"/>
        <v>16.86272640610105</v>
      </c>
      <c r="C29" s="8">
        <f t="shared" si="14"/>
        <v>23.909090909090907</v>
      </c>
      <c r="D29" s="8">
        <f t="shared" si="14"/>
        <v>24.35707502374169</v>
      </c>
      <c r="E29" s="8">
        <f t="shared" si="14"/>
        <v>38.015873015873012</v>
      </c>
      <c r="F29" s="8">
        <f t="shared" ref="F29:F31" si="15">M19/M$22*F$32</f>
        <v>43.59546643417611</v>
      </c>
      <c r="H29" s="1" t="s">
        <v>47</v>
      </c>
      <c r="I29" s="5">
        <v>1058</v>
      </c>
      <c r="J29" s="5">
        <v>1102</v>
      </c>
      <c r="K29" s="5">
        <v>1002</v>
      </c>
      <c r="L29" s="5">
        <v>1054</v>
      </c>
      <c r="M29" s="5">
        <f>1031</f>
        <v>1031</v>
      </c>
    </row>
    <row r="30" spans="1:13">
      <c r="A30" s="1" t="s">
        <v>17</v>
      </c>
      <c r="B30" s="8">
        <f t="shared" si="14"/>
        <v>0.18684461391801716</v>
      </c>
      <c r="C30" s="8">
        <f t="shared" si="14"/>
        <v>2.3181818181818183</v>
      </c>
      <c r="D30" s="8">
        <f t="shared" si="14"/>
        <v>2.499525166191833</v>
      </c>
      <c r="E30" s="8">
        <f t="shared" si="14"/>
        <v>11.111111111111111</v>
      </c>
      <c r="F30" s="8">
        <f t="shared" si="15"/>
        <v>11.675675675675677</v>
      </c>
      <c r="H30" s="1" t="s">
        <v>17</v>
      </c>
      <c r="I30" s="5">
        <v>819</v>
      </c>
      <c r="J30" s="5">
        <v>1148</v>
      </c>
      <c r="K30" s="5">
        <v>1040</v>
      </c>
      <c r="L30" s="5">
        <v>1660</v>
      </c>
      <c r="M30" s="5">
        <f>3752</f>
        <v>3752</v>
      </c>
    </row>
    <row r="31" spans="1:13">
      <c r="A31" s="1" t="s">
        <v>72</v>
      </c>
      <c r="B31" s="8">
        <f t="shared" si="14"/>
        <v>0</v>
      </c>
      <c r="C31" s="8">
        <f t="shared" si="14"/>
        <v>0</v>
      </c>
      <c r="D31" s="8">
        <f t="shared" si="14"/>
        <v>0</v>
      </c>
      <c r="E31" s="8">
        <f t="shared" si="14"/>
        <v>0</v>
      </c>
      <c r="F31" s="8">
        <f t="shared" si="15"/>
        <v>0</v>
      </c>
      <c r="H31" s="1" t="s">
        <v>72</v>
      </c>
      <c r="I31" s="5">
        <v>0</v>
      </c>
      <c r="J31" s="5">
        <v>0</v>
      </c>
      <c r="K31" s="5">
        <v>0</v>
      </c>
      <c r="L31" s="5">
        <v>0</v>
      </c>
      <c r="M31" s="5">
        <v>0</v>
      </c>
    </row>
    <row r="32" spans="1:13" ht="15.75" thickBot="1">
      <c r="A32" s="15" t="s">
        <v>15</v>
      </c>
      <c r="B32" s="16">
        <f>Supplemental!C53</f>
        <v>49</v>
      </c>
      <c r="C32" s="16">
        <f>Supplemental!D53</f>
        <v>53</v>
      </c>
      <c r="D32" s="16">
        <f>Supplemental!E53</f>
        <v>56</v>
      </c>
      <c r="E32" s="16">
        <f>Supplemental!F53</f>
        <v>95</v>
      </c>
      <c r="F32" s="16">
        <f>Supplemental!G53</f>
        <v>108</v>
      </c>
      <c r="H32" s="15" t="s">
        <v>15</v>
      </c>
      <c r="I32" s="16">
        <f>SUM(I28:I31)</f>
        <v>3565</v>
      </c>
      <c r="J32" s="16">
        <f t="shared" ref="J32" si="16">SUM(J28:J31)</f>
        <v>3782</v>
      </c>
      <c r="K32" s="16">
        <f t="shared" ref="K32" si="17">SUM(K28:K31)</f>
        <v>3392</v>
      </c>
      <c r="L32" s="16">
        <f t="shared" ref="L32" si="18">SUM(L28:L31)</f>
        <v>4107</v>
      </c>
      <c r="M32" s="16">
        <f>Financials!O17</f>
        <v>8218</v>
      </c>
    </row>
    <row r="33" spans="1:15" ht="15.75" thickTop="1">
      <c r="A33"/>
      <c r="B33"/>
      <c r="C33"/>
      <c r="D33"/>
      <c r="E33"/>
      <c r="F33"/>
    </row>
    <row r="34" spans="1:15" ht="17.25">
      <c r="A34" s="28" t="s">
        <v>120</v>
      </c>
      <c r="B34"/>
      <c r="C34"/>
      <c r="D34"/>
      <c r="E34"/>
      <c r="F34"/>
      <c r="H34" s="2"/>
    </row>
    <row r="35" spans="1:15">
      <c r="H35" s="2" t="s">
        <v>116</v>
      </c>
    </row>
    <row r="37" spans="1:15">
      <c r="H37" s="35" t="s">
        <v>43</v>
      </c>
      <c r="I37" s="36">
        <v>2005</v>
      </c>
      <c r="J37" s="36">
        <f>I37+1</f>
        <v>2006</v>
      </c>
      <c r="K37" s="36">
        <f>J37+1</f>
        <v>2007</v>
      </c>
      <c r="L37" s="36">
        <f>K37+1</f>
        <v>2008</v>
      </c>
      <c r="M37" s="36">
        <f>L37+1</f>
        <v>2009</v>
      </c>
    </row>
    <row r="38" spans="1:15">
      <c r="H38" s="1" t="s">
        <v>6</v>
      </c>
      <c r="I38" s="5">
        <v>3184</v>
      </c>
      <c r="J38" s="5">
        <v>2955</v>
      </c>
      <c r="K38" s="5">
        <v>2752</v>
      </c>
      <c r="L38" s="5">
        <v>2604</v>
      </c>
      <c r="M38" s="5">
        <v>2562</v>
      </c>
    </row>
    <row r="39" spans="1:15">
      <c r="H39" s="1" t="s">
        <v>47</v>
      </c>
      <c r="I39" s="5">
        <v>2184</v>
      </c>
      <c r="J39" s="5">
        <v>2328</v>
      </c>
      <c r="K39" s="5">
        <v>2236</v>
      </c>
      <c r="L39" s="5">
        <v>2151</v>
      </c>
      <c r="M39" s="5">
        <v>2125</v>
      </c>
    </row>
    <row r="40" spans="1:15">
      <c r="H40" s="1" t="s">
        <v>17</v>
      </c>
      <c r="I40" s="5">
        <f>1186+2350</f>
        <v>3536</v>
      </c>
      <c r="J40" s="5">
        <v>3648</v>
      </c>
      <c r="K40" s="5">
        <v>3680</v>
      </c>
      <c r="L40" s="5">
        <v>6590</v>
      </c>
      <c r="M40" s="5">
        <v>7035</v>
      </c>
    </row>
    <row r="41" spans="1:15">
      <c r="H41" s="1" t="s">
        <v>72</v>
      </c>
      <c r="I41" s="5">
        <v>-167</v>
      </c>
      <c r="J41" s="5">
        <v>24</v>
      </c>
      <c r="K41" s="5">
        <v>76</v>
      </c>
      <c r="L41" s="5">
        <v>-24</v>
      </c>
      <c r="M41" s="5">
        <v>-181</v>
      </c>
    </row>
    <row r="42" spans="1:15" ht="15.75" thickBot="1">
      <c r="H42" s="15" t="s">
        <v>15</v>
      </c>
      <c r="I42" s="16">
        <f>SUM(I38:I41)</f>
        <v>8737</v>
      </c>
      <c r="J42" s="16">
        <f t="shared" ref="J42" si="19">SUM(J38:J41)</f>
        <v>8955</v>
      </c>
      <c r="K42" s="16">
        <f t="shared" ref="K42" si="20">SUM(K38:K41)</f>
        <v>8744</v>
      </c>
      <c r="L42" s="16">
        <f t="shared" ref="L42" si="21">SUM(L38:L41)</f>
        <v>11321</v>
      </c>
      <c r="M42" s="16">
        <f t="shared" ref="M42" si="22">SUM(M38:M41)</f>
        <v>11541</v>
      </c>
    </row>
    <row r="43" spans="1:15" ht="15.75" thickTop="1"/>
    <row r="44" spans="1:15" ht="17.25">
      <c r="H44" s="1" t="s">
        <v>123</v>
      </c>
      <c r="K44" s="13"/>
      <c r="L44" s="13"/>
      <c r="M44" s="13"/>
      <c r="N44" s="13"/>
      <c r="O44" s="13"/>
    </row>
  </sheetData>
  <pageMargins left="0.7" right="0.7" top="0.75" bottom="0.75" header="0.3" footer="0.3"/>
  <pageSetup orientation="portrait" r:id="rId1"/>
  <ignoredErrors>
    <ignoredError sqref="I22 B22 B12 I32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1</vt:i4>
      </vt:variant>
    </vt:vector>
  </HeadingPairs>
  <TitlesOfParts>
    <vt:vector size="5" baseType="lpstr">
      <vt:lpstr>Financials</vt:lpstr>
      <vt:lpstr>Supplemental</vt:lpstr>
      <vt:lpstr>Other</vt:lpstr>
      <vt:lpstr>Segments</vt:lpstr>
      <vt:lpstr>name</vt:lpstr>
    </vt:vector>
  </TitlesOfParts>
  <Company>The Wharton School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Professor David Wessels</dc:creator>
  <cp:lastModifiedBy>Professor David Wessels</cp:lastModifiedBy>
  <cp:lastPrinted>2008-06-11T19:54:22Z</cp:lastPrinted>
  <dcterms:created xsi:type="dcterms:W3CDTF">2007-03-24T22:54:24Z</dcterms:created>
  <dcterms:modified xsi:type="dcterms:W3CDTF">2010-11-22T01:06:28Z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hinkcellXlWorkbookDoNotDelete" linkTarget="&lt;?xml version=&quot;1.0&quot; encoding=&quot;UTF-16&quot; standalone=&quot;yes&quot;?&gt;&#10;&lt;root reqver=&quot;17819&quot;&gt;&lt;version val=&quot;17875&quot;/&gt;&lt;CXlWorkbook id=&quot;1&quot;&gt;&lt;m_cxllink/&gt;&lt;/CXlWorkbook&gt;&lt;/root&gt;">
    <vt:bool>false</vt:bool>
  </property>
  <property fmtid="{D5CDD505-2E9C-101B-9397-08002B2CF9AE}" pid="3" name="CachePFDLData">
    <vt:lpwstr>True</vt:lpwstr>
  </property>
</Properties>
</file>