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 autoCompressPictures="0"/>
  <bookViews>
    <workbookView xWindow="1965" yWindow="60" windowWidth="15480" windowHeight="11640" tabRatio="847"/>
  </bookViews>
  <sheets>
    <sheet name="Financials" sheetId="11" r:id="rId1"/>
    <sheet name="%%TOBA_CACHE%%" sheetId="14" state="veryHidden" r:id="rId2"/>
    <sheet name="Supplemental" sheetId="10" r:id="rId3"/>
    <sheet name="Other" sheetId="6" r:id="rId4"/>
    <sheet name="Segments" sheetId="15" r:id="rId5"/>
    <sheet name="Segment Ratios" sheetId="17" r:id="rId6"/>
    <sheet name="ROIC" sheetId="5" r:id="rId7"/>
    <sheet name="NOPLAT" sheetId="12" r:id="rId8"/>
    <sheet name="Taxes" sheetId="4" r:id="rId9"/>
    <sheet name="Capital" sheetId="13" r:id="rId10"/>
  </sheets>
  <definedNames>
    <definedName name="company_name">Financials!$A$2</definedName>
    <definedName name="currency">Financials!$A$5</definedName>
    <definedName name="SPWS_WBID">"C55497C2-9C80-11D5-9866-00010246A83F"</definedName>
    <definedName name="WACC">#REF!</definedName>
  </definedNames>
  <calcPr calcId="125725" calcOnSave="0"/>
</workbook>
</file>

<file path=xl/calcChain.xml><?xml version="1.0" encoding="utf-8"?>
<calcChain xmlns="http://schemas.openxmlformats.org/spreadsheetml/2006/main">
  <c r="J23" i="4"/>
  <c r="A23" l="1"/>
  <c r="A33" i="10"/>
  <c r="A29" i="13"/>
  <c r="J2"/>
  <c r="A2"/>
  <c r="J2" i="4"/>
  <c r="A2"/>
  <c r="J2" i="12"/>
  <c r="A2"/>
  <c r="A2" i="5"/>
  <c r="A2" i="17"/>
  <c r="A2" i="15"/>
  <c r="J2" i="6"/>
  <c r="A2"/>
  <c r="J15" i="10"/>
  <c r="J2"/>
  <c r="A2"/>
  <c r="A30" i="11"/>
  <c r="I2"/>
  <c r="B17"/>
  <c r="B24" i="10"/>
  <c r="B5" i="12"/>
  <c r="B23" s="1"/>
  <c r="B6"/>
  <c r="B7"/>
  <c r="B10"/>
  <c r="B11"/>
  <c r="B12"/>
  <c r="B14"/>
  <c r="C14" i="11"/>
  <c r="B26" i="10"/>
  <c r="B30" s="1"/>
  <c r="B28"/>
  <c r="B17"/>
  <c r="B15"/>
  <c r="B36"/>
  <c r="C26"/>
  <c r="D26"/>
  <c r="E26"/>
  <c r="F26"/>
  <c r="C28"/>
  <c r="D28"/>
  <c r="E28"/>
  <c r="F28"/>
  <c r="C30"/>
  <c r="C29" s="1"/>
  <c r="D30"/>
  <c r="D29" s="1"/>
  <c r="E30"/>
  <c r="E29" s="1"/>
  <c r="F30"/>
  <c r="F29" s="1"/>
  <c r="C13"/>
  <c r="E13"/>
  <c r="F13"/>
  <c r="C15"/>
  <c r="E15"/>
  <c r="E37" s="1"/>
  <c r="F15"/>
  <c r="F37" s="1"/>
  <c r="C17"/>
  <c r="C16" s="1"/>
  <c r="E17"/>
  <c r="E16" s="1"/>
  <c r="E38" s="1"/>
  <c r="F17"/>
  <c r="F16" s="1"/>
  <c r="F38" s="1"/>
  <c r="B8" i="11"/>
  <c r="C8"/>
  <c r="C15" s="1"/>
  <c r="D8"/>
  <c r="D15" s="1"/>
  <c r="D19" s="1"/>
  <c r="E8"/>
  <c r="E15" s="1"/>
  <c r="F8"/>
  <c r="F15" s="1"/>
  <c r="F19" s="1"/>
  <c r="F22" s="1"/>
  <c r="J18" i="10"/>
  <c r="J5"/>
  <c r="A36"/>
  <c r="A33" i="11"/>
  <c r="B32" i="15"/>
  <c r="B31" s="1"/>
  <c r="J8"/>
  <c r="J9"/>
  <c r="J10"/>
  <c r="J11"/>
  <c r="J12"/>
  <c r="J17"/>
  <c r="B27"/>
  <c r="B17"/>
  <c r="K7"/>
  <c r="L7" s="1"/>
  <c r="M7" s="1"/>
  <c r="N7" s="1"/>
  <c r="O7" s="1"/>
  <c r="O27" s="1"/>
  <c r="C7"/>
  <c r="C17" s="1"/>
  <c r="G37" i="11"/>
  <c r="F37"/>
  <c r="F39"/>
  <c r="E37"/>
  <c r="E39"/>
  <c r="D39"/>
  <c r="C39"/>
  <c r="B34"/>
  <c r="O23"/>
  <c r="J35"/>
  <c r="J47"/>
  <c r="J19"/>
  <c r="J15"/>
  <c r="K15"/>
  <c r="C18"/>
  <c r="C17"/>
  <c r="G36" i="10"/>
  <c r="C36"/>
  <c r="G14" i="12"/>
  <c r="C14"/>
  <c r="D14"/>
  <c r="E14"/>
  <c r="F14"/>
  <c r="B33" i="11"/>
  <c r="G33"/>
  <c r="C33"/>
  <c r="G28" i="10"/>
  <c r="G20"/>
  <c r="C20"/>
  <c r="G15"/>
  <c r="G37" s="1"/>
  <c r="G13" i="12" s="1"/>
  <c r="L21" i="6"/>
  <c r="M21"/>
  <c r="N21"/>
  <c r="O21"/>
  <c r="P21"/>
  <c r="K21"/>
  <c r="L13"/>
  <c r="M13"/>
  <c r="N13"/>
  <c r="O13"/>
  <c r="P13"/>
  <c r="K13"/>
  <c r="L5"/>
  <c r="M5" s="1"/>
  <c r="N5" s="1"/>
  <c r="O5" s="1"/>
  <c r="P5" s="1"/>
  <c r="K10"/>
  <c r="L10"/>
  <c r="M10"/>
  <c r="N10"/>
  <c r="N15" s="1"/>
  <c r="O10"/>
  <c r="O14" s="1"/>
  <c r="P10"/>
  <c r="N14"/>
  <c r="O15"/>
  <c r="N16"/>
  <c r="O16"/>
  <c r="P18"/>
  <c r="N22"/>
  <c r="O22"/>
  <c r="O26" s="1"/>
  <c r="N23"/>
  <c r="O23"/>
  <c r="N24"/>
  <c r="O24"/>
  <c r="N25"/>
  <c r="O25"/>
  <c r="P26"/>
  <c r="I17" i="17"/>
  <c r="J17"/>
  <c r="K17"/>
  <c r="L17"/>
  <c r="M17"/>
  <c r="J18"/>
  <c r="K18"/>
  <c r="L18"/>
  <c r="M18"/>
  <c r="J16"/>
  <c r="K16"/>
  <c r="L16"/>
  <c r="M16"/>
  <c r="I16"/>
  <c r="I9"/>
  <c r="J9"/>
  <c r="L10"/>
  <c r="M10"/>
  <c r="L8"/>
  <c r="C23"/>
  <c r="D23" s="1"/>
  <c r="E23" s="1"/>
  <c r="F23" s="1"/>
  <c r="J15"/>
  <c r="K15" s="1"/>
  <c r="L15" s="1"/>
  <c r="M15" s="1"/>
  <c r="C15"/>
  <c r="D15" s="1"/>
  <c r="E15" s="1"/>
  <c r="F15" s="1"/>
  <c r="J7"/>
  <c r="K7" s="1"/>
  <c r="L7" s="1"/>
  <c r="M7" s="1"/>
  <c r="C7"/>
  <c r="D7" s="1"/>
  <c r="E7" s="1"/>
  <c r="F7" s="1"/>
  <c r="K40" i="15"/>
  <c r="K42" s="1"/>
  <c r="C32"/>
  <c r="D32"/>
  <c r="E32"/>
  <c r="F32"/>
  <c r="G32"/>
  <c r="O30"/>
  <c r="O10" s="1"/>
  <c r="O29"/>
  <c r="O9" s="1"/>
  <c r="M9" i="17" s="1"/>
  <c r="O28" i="15"/>
  <c r="O20"/>
  <c r="O19"/>
  <c r="O18"/>
  <c r="L8"/>
  <c r="J8" i="17" s="1"/>
  <c r="M8" i="15"/>
  <c r="K8" i="17" s="1"/>
  <c r="N8" i="15"/>
  <c r="O8"/>
  <c r="M8" i="17" s="1"/>
  <c r="L9" i="15"/>
  <c r="M9"/>
  <c r="K9" i="17" s="1"/>
  <c r="N9" i="15"/>
  <c r="L9" i="17" s="1"/>
  <c r="L10" i="15"/>
  <c r="J10" i="17" s="1"/>
  <c r="M10" i="15"/>
  <c r="K10" i="17" s="1"/>
  <c r="N10" i="15"/>
  <c r="L11"/>
  <c r="M11"/>
  <c r="N11"/>
  <c r="K9"/>
  <c r="K11"/>
  <c r="K8"/>
  <c r="I8" i="17" s="1"/>
  <c r="O11" i="15"/>
  <c r="O32"/>
  <c r="O42"/>
  <c r="N42"/>
  <c r="M42"/>
  <c r="L42"/>
  <c r="N32"/>
  <c r="M32"/>
  <c r="L32"/>
  <c r="K32"/>
  <c r="G22"/>
  <c r="F22"/>
  <c r="E22"/>
  <c r="D22"/>
  <c r="C22"/>
  <c r="D12"/>
  <c r="E12"/>
  <c r="F12"/>
  <c r="G12"/>
  <c r="C12"/>
  <c r="D7"/>
  <c r="E7" s="1"/>
  <c r="F7" s="1"/>
  <c r="G7" s="1"/>
  <c r="G17" s="1"/>
  <c r="B6" i="13"/>
  <c r="C6"/>
  <c r="D6"/>
  <c r="E6"/>
  <c r="F6"/>
  <c r="G6"/>
  <c r="M18" i="10"/>
  <c r="N18" s="1"/>
  <c r="O18" s="1"/>
  <c r="C38" l="1"/>
  <c r="C37"/>
  <c r="B37"/>
  <c r="F25" i="11"/>
  <c r="F35" s="1"/>
  <c r="B8" i="12"/>
  <c r="D20" i="4"/>
  <c r="D22" i="11"/>
  <c r="C19"/>
  <c r="B31" i="12"/>
  <c r="C20" i="4"/>
  <c r="C22" i="11"/>
  <c r="C25" s="1"/>
  <c r="C35" s="1"/>
  <c r="B29" i="10"/>
  <c r="B16"/>
  <c r="B28" i="15"/>
  <c r="B29"/>
  <c r="B30"/>
  <c r="I18" i="17"/>
  <c r="E17" i="15"/>
  <c r="F27"/>
  <c r="K10"/>
  <c r="I10" i="17" s="1"/>
  <c r="F17" i="15"/>
  <c r="G27"/>
  <c r="C27"/>
  <c r="D27"/>
  <c r="D17"/>
  <c r="E27"/>
  <c r="O17"/>
  <c r="K17"/>
  <c r="L27"/>
  <c r="M37"/>
  <c r="J37"/>
  <c r="L17"/>
  <c r="M27"/>
  <c r="N37"/>
  <c r="J27"/>
  <c r="M17"/>
  <c r="N27"/>
  <c r="O37"/>
  <c r="K37"/>
  <c r="N17"/>
  <c r="K27"/>
  <c r="L37"/>
  <c r="O17" i="6"/>
  <c r="O18" s="1"/>
  <c r="N26"/>
  <c r="N18"/>
  <c r="N17"/>
  <c r="K12" i="15"/>
  <c r="N12"/>
  <c r="M12"/>
  <c r="L12"/>
  <c r="O12"/>
  <c r="D8" i="10"/>
  <c r="J10" i="4"/>
  <c r="J7"/>
  <c r="J8"/>
  <c r="J9"/>
  <c r="J11"/>
  <c r="J12"/>
  <c r="J13"/>
  <c r="J14"/>
  <c r="J15"/>
  <c r="J16"/>
  <c r="J17"/>
  <c r="J6"/>
  <c r="G7" i="12"/>
  <c r="G30" i="6"/>
  <c r="F30"/>
  <c r="G23"/>
  <c r="F23"/>
  <c r="G16"/>
  <c r="F16"/>
  <c r="G9"/>
  <c r="F9"/>
  <c r="B20" i="13"/>
  <c r="C20"/>
  <c r="G20"/>
  <c r="B21"/>
  <c r="C21"/>
  <c r="G21"/>
  <c r="B22"/>
  <c r="C22"/>
  <c r="D22"/>
  <c r="E22"/>
  <c r="F22"/>
  <c r="G22"/>
  <c r="B7"/>
  <c r="B8"/>
  <c r="B9"/>
  <c r="B10"/>
  <c r="B13"/>
  <c r="B14"/>
  <c r="B15"/>
  <c r="B16"/>
  <c r="C7"/>
  <c r="C8"/>
  <c r="C9"/>
  <c r="C10"/>
  <c r="C13"/>
  <c r="C14"/>
  <c r="C15"/>
  <c r="C16"/>
  <c r="D34"/>
  <c r="D7"/>
  <c r="D8"/>
  <c r="D9"/>
  <c r="D10"/>
  <c r="D14"/>
  <c r="D15"/>
  <c r="D16"/>
  <c r="E34"/>
  <c r="E7"/>
  <c r="E8"/>
  <c r="E9"/>
  <c r="E10"/>
  <c r="E14"/>
  <c r="E15"/>
  <c r="E16"/>
  <c r="F34"/>
  <c r="F7"/>
  <c r="F8"/>
  <c r="F9"/>
  <c r="F10"/>
  <c r="F13"/>
  <c r="F14"/>
  <c r="F15"/>
  <c r="F16"/>
  <c r="G7"/>
  <c r="G8"/>
  <c r="G9"/>
  <c r="G10"/>
  <c r="G13"/>
  <c r="G14"/>
  <c r="G15"/>
  <c r="G16"/>
  <c r="B25"/>
  <c r="C25"/>
  <c r="D25"/>
  <c r="E25"/>
  <c r="F25"/>
  <c r="G25"/>
  <c r="J5"/>
  <c r="K5" s="1"/>
  <c r="L5" s="1"/>
  <c r="M5" s="1"/>
  <c r="N5" s="1"/>
  <c r="B35"/>
  <c r="B36"/>
  <c r="B37"/>
  <c r="B38"/>
  <c r="B39"/>
  <c r="F7" i="12"/>
  <c r="F10"/>
  <c r="F11"/>
  <c r="F12"/>
  <c r="G10"/>
  <c r="G11"/>
  <c r="G12"/>
  <c r="G35" i="13"/>
  <c r="G36"/>
  <c r="G37"/>
  <c r="G38"/>
  <c r="G39"/>
  <c r="F35"/>
  <c r="F36"/>
  <c r="F37"/>
  <c r="F38"/>
  <c r="F39"/>
  <c r="E35"/>
  <c r="E36"/>
  <c r="E38"/>
  <c r="E39"/>
  <c r="D35"/>
  <c r="D36"/>
  <c r="D38"/>
  <c r="D39"/>
  <c r="C34"/>
  <c r="C35"/>
  <c r="C36"/>
  <c r="C37"/>
  <c r="C38"/>
  <c r="C39"/>
  <c r="C6" i="12"/>
  <c r="C7"/>
  <c r="C10"/>
  <c r="C11"/>
  <c r="C12"/>
  <c r="J12" s="1"/>
  <c r="D6"/>
  <c r="D7"/>
  <c r="D10"/>
  <c r="D11"/>
  <c r="D12"/>
  <c r="K12" s="1"/>
  <c r="E6"/>
  <c r="E7"/>
  <c r="E10"/>
  <c r="E11"/>
  <c r="E12"/>
  <c r="L12" s="1"/>
  <c r="F6"/>
  <c r="M14" s="1"/>
  <c r="G6"/>
  <c r="I14"/>
  <c r="I12"/>
  <c r="O10" i="10"/>
  <c r="P10"/>
  <c r="M5"/>
  <c r="N5" s="1"/>
  <c r="O5" s="1"/>
  <c r="G8" i="11"/>
  <c r="G15" s="1"/>
  <c r="G19" s="1"/>
  <c r="F32" i="12"/>
  <c r="E17" i="11"/>
  <c r="E19" s="1"/>
  <c r="E22" s="1"/>
  <c r="E25" s="1"/>
  <c r="E35" s="1"/>
  <c r="D32" i="12"/>
  <c r="A5" i="13"/>
  <c r="A32" s="1"/>
  <c r="C32"/>
  <c r="D32" s="1"/>
  <c r="E32" s="1"/>
  <c r="F32" s="1"/>
  <c r="G32" s="1"/>
  <c r="C5" i="5"/>
  <c r="D5" i="11"/>
  <c r="D5" i="5"/>
  <c r="E5" i="11"/>
  <c r="E5" i="5"/>
  <c r="F5" i="11"/>
  <c r="F5" i="5"/>
  <c r="G5"/>
  <c r="B5"/>
  <c r="G44" i="13"/>
  <c r="G45"/>
  <c r="G46"/>
  <c r="G47"/>
  <c r="O38" i="11"/>
  <c r="G51" i="13"/>
  <c r="G52"/>
  <c r="F44"/>
  <c r="F45"/>
  <c r="F46"/>
  <c r="F47"/>
  <c r="F50"/>
  <c r="F51"/>
  <c r="F52"/>
  <c r="E44"/>
  <c r="E45"/>
  <c r="E46"/>
  <c r="E47"/>
  <c r="M38" i="11"/>
  <c r="E51" i="13"/>
  <c r="E52"/>
  <c r="D44"/>
  <c r="D45"/>
  <c r="D46"/>
  <c r="D47"/>
  <c r="L38" i="11"/>
  <c r="D51" i="13"/>
  <c r="D52"/>
  <c r="C44"/>
  <c r="C45"/>
  <c r="C46"/>
  <c r="C47"/>
  <c r="K38" i="11"/>
  <c r="C51" i="13"/>
  <c r="C52"/>
  <c r="B44"/>
  <c r="B45"/>
  <c r="B46"/>
  <c r="B47"/>
  <c r="B50"/>
  <c r="B51"/>
  <c r="B52"/>
  <c r="A47"/>
  <c r="A46"/>
  <c r="A45"/>
  <c r="A44"/>
  <c r="C43"/>
  <c r="D43"/>
  <c r="E43" s="1"/>
  <c r="F43" s="1"/>
  <c r="G43" s="1"/>
  <c r="N15" i="11"/>
  <c r="N22"/>
  <c r="M29"/>
  <c r="M15"/>
  <c r="M22"/>
  <c r="M20"/>
  <c r="L29"/>
  <c r="L15"/>
  <c r="L22"/>
  <c r="L20"/>
  <c r="A39" i="13"/>
  <c r="A38"/>
  <c r="A36"/>
  <c r="A35"/>
  <c r="A22"/>
  <c r="A21"/>
  <c r="A20"/>
  <c r="A16"/>
  <c r="A15"/>
  <c r="A14"/>
  <c r="A13"/>
  <c r="A10"/>
  <c r="A9"/>
  <c r="A8"/>
  <c r="A7"/>
  <c r="C5"/>
  <c r="D5" s="1"/>
  <c r="E5" s="1"/>
  <c r="F5" s="1"/>
  <c r="G5" s="1"/>
  <c r="A5" i="12"/>
  <c r="C5"/>
  <c r="D5"/>
  <c r="E5"/>
  <c r="F5"/>
  <c r="G5"/>
  <c r="D23"/>
  <c r="G28" i="4"/>
  <c r="F28"/>
  <c r="C28"/>
  <c r="G27"/>
  <c r="F27"/>
  <c r="E27"/>
  <c r="D27"/>
  <c r="C27"/>
  <c r="B27"/>
  <c r="M26"/>
  <c r="N26"/>
  <c r="O26" s="1"/>
  <c r="P26" s="1"/>
  <c r="C18"/>
  <c r="C30" s="1"/>
  <c r="D28"/>
  <c r="D18"/>
  <c r="D30" s="1"/>
  <c r="E28"/>
  <c r="E18"/>
  <c r="E30" s="1"/>
  <c r="F18"/>
  <c r="G18"/>
  <c r="G30" s="1"/>
  <c r="B16"/>
  <c r="B28" s="1"/>
  <c r="D26"/>
  <c r="E26" s="1"/>
  <c r="F26" s="1"/>
  <c r="G26" s="1"/>
  <c r="M5"/>
  <c r="N5" s="1"/>
  <c r="O5" s="1"/>
  <c r="P5" s="1"/>
  <c r="D5"/>
  <c r="E5" s="1"/>
  <c r="F5" s="1"/>
  <c r="G5" s="1"/>
  <c r="B26" i="6"/>
  <c r="B19"/>
  <c r="B12"/>
  <c r="C5"/>
  <c r="C19" s="1"/>
  <c r="G13" i="10"/>
  <c r="G17" s="1"/>
  <c r="G16" s="1"/>
  <c r="G38" s="1"/>
  <c r="G26"/>
  <c r="G30" s="1"/>
  <c r="G29" s="1"/>
  <c r="D5"/>
  <c r="O33" i="11"/>
  <c r="O41" s="1"/>
  <c r="O49" s="1"/>
  <c r="L5"/>
  <c r="J13"/>
  <c r="J23" s="1"/>
  <c r="K13"/>
  <c r="K23" s="1"/>
  <c r="L13"/>
  <c r="L23" s="1"/>
  <c r="M13"/>
  <c r="M23" s="1"/>
  <c r="N13"/>
  <c r="N23" s="1"/>
  <c r="L26"/>
  <c r="M26" s="1"/>
  <c r="N26" s="1"/>
  <c r="O26" s="1"/>
  <c r="J33"/>
  <c r="J41" s="1"/>
  <c r="J49" s="1"/>
  <c r="K33"/>
  <c r="L33"/>
  <c r="L41" s="1"/>
  <c r="L49" s="1"/>
  <c r="M33"/>
  <c r="M41" s="1"/>
  <c r="M49" s="1"/>
  <c r="N33"/>
  <c r="N41" s="1"/>
  <c r="N49" s="1"/>
  <c r="K41"/>
  <c r="K49" s="1"/>
  <c r="B14"/>
  <c r="B15" s="1"/>
  <c r="B19" s="1"/>
  <c r="B9" i="6"/>
  <c r="C9"/>
  <c r="D9"/>
  <c r="B16"/>
  <c r="C16"/>
  <c r="D16"/>
  <c r="B23"/>
  <c r="C23"/>
  <c r="D23"/>
  <c r="B29"/>
  <c r="B28"/>
  <c r="C29"/>
  <c r="C28"/>
  <c r="D28"/>
  <c r="D30" s="1"/>
  <c r="D29"/>
  <c r="E30"/>
  <c r="E23"/>
  <c r="E16"/>
  <c r="E9"/>
  <c r="B25" i="12" l="1"/>
  <c r="E25"/>
  <c r="D25"/>
  <c r="C25"/>
  <c r="G25"/>
  <c r="F25"/>
  <c r="B18" i="4"/>
  <c r="B30" s="1"/>
  <c r="B29" s="1"/>
  <c r="D13" i="10"/>
  <c r="D17" s="1"/>
  <c r="D15"/>
  <c r="D37" s="1"/>
  <c r="B13" i="12"/>
  <c r="B15" s="1"/>
  <c r="E5" i="10"/>
  <c r="D36"/>
  <c r="D20"/>
  <c r="B38"/>
  <c r="G50" i="13"/>
  <c r="D25" i="11"/>
  <c r="D35" s="1"/>
  <c r="B20" i="4"/>
  <c r="B22" i="11"/>
  <c r="B25" s="1"/>
  <c r="B35" s="1"/>
  <c r="B40" s="1"/>
  <c r="C34" s="1"/>
  <c r="G22"/>
  <c r="G25" s="1"/>
  <c r="G35" s="1"/>
  <c r="G20" i="4"/>
  <c r="P7" s="1"/>
  <c r="E32" i="12"/>
  <c r="C50" i="13"/>
  <c r="D50"/>
  <c r="E50"/>
  <c r="D37"/>
  <c r="D13"/>
  <c r="E21"/>
  <c r="L21" s="1"/>
  <c r="E20"/>
  <c r="F33" i="11"/>
  <c r="E33"/>
  <c r="D33"/>
  <c r="C32" i="12"/>
  <c r="E37" i="13"/>
  <c r="E13"/>
  <c r="L13" s="1"/>
  <c r="F21"/>
  <c r="D21"/>
  <c r="K21" s="1"/>
  <c r="F20"/>
  <c r="D20"/>
  <c r="F20" i="4"/>
  <c r="O6" s="1"/>
  <c r="O27" s="1"/>
  <c r="E20"/>
  <c r="N9" s="1"/>
  <c r="P17"/>
  <c r="L8"/>
  <c r="C30" i="6"/>
  <c r="D5"/>
  <c r="D12" s="1"/>
  <c r="L11" i="12"/>
  <c r="F23"/>
  <c r="F31"/>
  <c r="M5"/>
  <c r="D31"/>
  <c r="K5"/>
  <c r="A23"/>
  <c r="A31"/>
  <c r="I5"/>
  <c r="G11" i="5"/>
  <c r="L20" i="13"/>
  <c r="E11" i="5"/>
  <c r="C11"/>
  <c r="I13" i="12"/>
  <c r="J14"/>
  <c r="N14"/>
  <c r="G23"/>
  <c r="N5"/>
  <c r="G31"/>
  <c r="E23"/>
  <c r="L5"/>
  <c r="E31"/>
  <c r="C23"/>
  <c r="J5"/>
  <c r="C31"/>
  <c r="I20" i="13"/>
  <c r="B11" i="5"/>
  <c r="F11"/>
  <c r="K20" i="13"/>
  <c r="D11" i="5"/>
  <c r="K14" i="12"/>
  <c r="L14"/>
  <c r="B30" i="6"/>
  <c r="C26"/>
  <c r="D26"/>
  <c r="C12"/>
  <c r="G29" i="4"/>
  <c r="D48" i="13"/>
  <c r="N10" i="12"/>
  <c r="M20" i="13"/>
  <c r="J11" i="12"/>
  <c r="L6"/>
  <c r="C48" i="13"/>
  <c r="C53" s="1"/>
  <c r="N11" i="12"/>
  <c r="J10"/>
  <c r="M5" i="11"/>
  <c r="I10" i="12"/>
  <c r="E11" i="13"/>
  <c r="L11" s="1"/>
  <c r="C11"/>
  <c r="N7" i="12"/>
  <c r="N6"/>
  <c r="N12"/>
  <c r="M11"/>
  <c r="O9" i="4"/>
  <c r="G11" i="13"/>
  <c r="O12" i="4"/>
  <c r="B48" i="13"/>
  <c r="B53" s="1"/>
  <c r="M10" i="12"/>
  <c r="B17" i="13"/>
  <c r="I17" s="1"/>
  <c r="O15" i="4"/>
  <c r="O8"/>
  <c r="M6" i="12"/>
  <c r="G34" i="13"/>
  <c r="M12" i="12"/>
  <c r="F17" i="13"/>
  <c r="M17" s="1"/>
  <c r="B11"/>
  <c r="O16" i="4"/>
  <c r="A43" i="13"/>
  <c r="F48"/>
  <c r="F53" s="1"/>
  <c r="M7" i="12"/>
  <c r="C8"/>
  <c r="D17" i="13"/>
  <c r="K17" s="1"/>
  <c r="L11" i="4"/>
  <c r="D8" i="12"/>
  <c r="L14" i="4"/>
  <c r="L6"/>
  <c r="L27" s="1"/>
  <c r="K7" i="12"/>
  <c r="K10"/>
  <c r="E8"/>
  <c r="B34" i="13"/>
  <c r="F11"/>
  <c r="M11" s="1"/>
  <c r="G48"/>
  <c r="J7" i="12"/>
  <c r="G17" i="13"/>
  <c r="N17" s="1"/>
  <c r="D11"/>
  <c r="C17"/>
  <c r="J17" s="1"/>
  <c r="L17" i="4"/>
  <c r="L13"/>
  <c r="L9"/>
  <c r="E48" i="13"/>
  <c r="E53" s="1"/>
  <c r="J6" i="12"/>
  <c r="K6"/>
  <c r="L7"/>
  <c r="K11"/>
  <c r="L10"/>
  <c r="I11"/>
  <c r="N20" i="13"/>
  <c r="J20"/>
  <c r="P13" i="4"/>
  <c r="O14"/>
  <c r="L12"/>
  <c r="I7" i="12"/>
  <c r="M6" i="4"/>
  <c r="M27" s="1"/>
  <c r="M7"/>
  <c r="M8"/>
  <c r="M9"/>
  <c r="M10"/>
  <c r="M11"/>
  <c r="M12"/>
  <c r="M13"/>
  <c r="M14"/>
  <c r="M15"/>
  <c r="M16"/>
  <c r="M17"/>
  <c r="M18"/>
  <c r="M28" s="1"/>
  <c r="F30"/>
  <c r="F29" s="1"/>
  <c r="P18"/>
  <c r="P28" s="1"/>
  <c r="P10"/>
  <c r="P9"/>
  <c r="C29"/>
  <c r="E29"/>
  <c r="D29"/>
  <c r="F19" i="13"/>
  <c r="G8" i="12"/>
  <c r="I15" i="13"/>
  <c r="I13"/>
  <c r="I10"/>
  <c r="I8"/>
  <c r="M16"/>
  <c r="K16"/>
  <c r="N15"/>
  <c r="L15"/>
  <c r="J15"/>
  <c r="M14"/>
  <c r="K14"/>
  <c r="N13"/>
  <c r="J13"/>
  <c r="N10"/>
  <c r="L10"/>
  <c r="J10"/>
  <c r="M9"/>
  <c r="K9"/>
  <c r="N8"/>
  <c r="L8"/>
  <c r="J8"/>
  <c r="M7"/>
  <c r="K7"/>
  <c r="N6"/>
  <c r="L6"/>
  <c r="J6"/>
  <c r="F8" i="12"/>
  <c r="I6" i="13"/>
  <c r="I16"/>
  <c r="I14"/>
  <c r="I11"/>
  <c r="I9"/>
  <c r="I7"/>
  <c r="N16"/>
  <c r="L16"/>
  <c r="J16"/>
  <c r="M15"/>
  <c r="K15"/>
  <c r="N14"/>
  <c r="L14"/>
  <c r="J14"/>
  <c r="M13"/>
  <c r="K13"/>
  <c r="M10"/>
  <c r="K10"/>
  <c r="N9"/>
  <c r="L9"/>
  <c r="J9"/>
  <c r="M8"/>
  <c r="K8"/>
  <c r="N7"/>
  <c r="L7"/>
  <c r="J7"/>
  <c r="M6"/>
  <c r="K6"/>
  <c r="N25"/>
  <c r="M25"/>
  <c r="L25"/>
  <c r="K25"/>
  <c r="J25"/>
  <c r="I25"/>
  <c r="N22"/>
  <c r="M22"/>
  <c r="L22"/>
  <c r="K22"/>
  <c r="J22"/>
  <c r="I22"/>
  <c r="N21"/>
  <c r="M21"/>
  <c r="J21"/>
  <c r="I21"/>
  <c r="C33" i="12" l="1"/>
  <c r="B33"/>
  <c r="D33"/>
  <c r="F33"/>
  <c r="E33"/>
  <c r="G33"/>
  <c r="F5" i="10"/>
  <c r="E20"/>
  <c r="E36"/>
  <c r="D16"/>
  <c r="D38" s="1"/>
  <c r="P14" i="4"/>
  <c r="P11"/>
  <c r="E17" i="13"/>
  <c r="L17" s="1"/>
  <c r="B19"/>
  <c r="I19" s="1"/>
  <c r="P12" i="4"/>
  <c r="P16"/>
  <c r="P6"/>
  <c r="P27" s="1"/>
  <c r="P15"/>
  <c r="P8"/>
  <c r="G53" i="13"/>
  <c r="N15" i="4"/>
  <c r="N11"/>
  <c r="D53" i="13"/>
  <c r="G32" i="12"/>
  <c r="K6" i="4"/>
  <c r="K27" s="1"/>
  <c r="K8"/>
  <c r="K10"/>
  <c r="K12"/>
  <c r="K14"/>
  <c r="K16"/>
  <c r="K18"/>
  <c r="K28" s="1"/>
  <c r="K7"/>
  <c r="K9"/>
  <c r="K11"/>
  <c r="K13"/>
  <c r="K15"/>
  <c r="K17"/>
  <c r="B32" i="12"/>
  <c r="C19" i="13"/>
  <c r="C23" s="1"/>
  <c r="J24" i="12"/>
  <c r="J11" i="13"/>
  <c r="N18" i="4"/>
  <c r="N28" s="1"/>
  <c r="N17"/>
  <c r="N8"/>
  <c r="N7"/>
  <c r="L18"/>
  <c r="L28" s="1"/>
  <c r="O10"/>
  <c r="N13"/>
  <c r="L16"/>
  <c r="N6"/>
  <c r="N27" s="1"/>
  <c r="N10"/>
  <c r="N14"/>
  <c r="L10"/>
  <c r="L7"/>
  <c r="L15"/>
  <c r="O11"/>
  <c r="O17"/>
  <c r="O7"/>
  <c r="O13"/>
  <c r="N16"/>
  <c r="N12"/>
  <c r="O18"/>
  <c r="O28" s="1"/>
  <c r="G15" i="12"/>
  <c r="K8"/>
  <c r="J8"/>
  <c r="L8"/>
  <c r="I8"/>
  <c r="D19" i="13"/>
  <c r="K19" s="1"/>
  <c r="D19" i="6"/>
  <c r="E5"/>
  <c r="E26" s="1"/>
  <c r="M24" i="12"/>
  <c r="F34" s="1"/>
  <c r="J23"/>
  <c r="K23"/>
  <c r="K24"/>
  <c r="D34" s="1"/>
  <c r="L23"/>
  <c r="I23"/>
  <c r="E19" i="6"/>
  <c r="E12"/>
  <c r="G19" i="13"/>
  <c r="N19" s="1"/>
  <c r="E19"/>
  <c r="L19" s="1"/>
  <c r="N11"/>
  <c r="K11"/>
  <c r="M23" i="12"/>
  <c r="N5" i="11"/>
  <c r="M8" i="12"/>
  <c r="B23" i="13"/>
  <c r="J19"/>
  <c r="M19"/>
  <c r="F23"/>
  <c r="N8" i="12"/>
  <c r="G23" i="13" l="1"/>
  <c r="F36" i="10"/>
  <c r="F20"/>
  <c r="N24" i="12"/>
  <c r="I24"/>
  <c r="B24"/>
  <c r="B26" s="1"/>
  <c r="B17" s="1"/>
  <c r="B18" s="1"/>
  <c r="L24"/>
  <c r="E34" s="1"/>
  <c r="C34"/>
  <c r="C38"/>
  <c r="G35"/>
  <c r="G38"/>
  <c r="E38"/>
  <c r="E35"/>
  <c r="D36"/>
  <c r="D35"/>
  <c r="D37"/>
  <c r="D38"/>
  <c r="C37"/>
  <c r="C36"/>
  <c r="C35"/>
  <c r="F36"/>
  <c r="F35"/>
  <c r="F37"/>
  <c r="F38"/>
  <c r="D23" i="13"/>
  <c r="D10" i="5" s="1"/>
  <c r="I15" i="12"/>
  <c r="B6" i="5" s="1"/>
  <c r="F5" i="6"/>
  <c r="B10" i="5"/>
  <c r="C10"/>
  <c r="G10"/>
  <c r="K29" i="4"/>
  <c r="F26" i="6"/>
  <c r="G5"/>
  <c r="F19"/>
  <c r="F12"/>
  <c r="E23" i="13"/>
  <c r="O5" i="11"/>
  <c r="N23" i="12"/>
  <c r="D26" i="13"/>
  <c r="I23"/>
  <c r="B26"/>
  <c r="N23"/>
  <c r="G26"/>
  <c r="J23"/>
  <c r="C26"/>
  <c r="M23"/>
  <c r="F26"/>
  <c r="G37" i="12" l="1"/>
  <c r="G36"/>
  <c r="K23" i="13"/>
  <c r="G34" i="12"/>
  <c r="I26"/>
  <c r="I25" s="1"/>
  <c r="B34"/>
  <c r="B38"/>
  <c r="B36"/>
  <c r="B35"/>
  <c r="B37"/>
  <c r="E36"/>
  <c r="E37"/>
  <c r="C39"/>
  <c r="F39"/>
  <c r="D39"/>
  <c r="E26" i="13"/>
  <c r="E33" s="1"/>
  <c r="E40" s="1"/>
  <c r="F10" i="5"/>
  <c r="E10"/>
  <c r="I17" i="12"/>
  <c r="B7" i="5" s="1"/>
  <c r="G12" i="6"/>
  <c r="G19"/>
  <c r="G26"/>
  <c r="L23" i="13"/>
  <c r="I18" i="12"/>
  <c r="B8" i="5" s="1"/>
  <c r="J26" i="13"/>
  <c r="C33"/>
  <c r="C40" s="1"/>
  <c r="L26"/>
  <c r="I26"/>
  <c r="B33"/>
  <c r="B40" s="1"/>
  <c r="K26"/>
  <c r="D33"/>
  <c r="D40" s="1"/>
  <c r="M26"/>
  <c r="F33"/>
  <c r="F40" s="1"/>
  <c r="N26"/>
  <c r="G33"/>
  <c r="G40" s="1"/>
  <c r="G39" i="12" l="1"/>
  <c r="B39"/>
  <c r="E39"/>
  <c r="B14" i="5"/>
  <c r="B13"/>
  <c r="K22" i="15" l="1"/>
  <c r="L22"/>
  <c r="M22"/>
  <c r="N22"/>
  <c r="O22"/>
  <c r="G31" l="1"/>
  <c r="G28"/>
  <c r="F24" i="17" s="1"/>
  <c r="G29" i="15"/>
  <c r="F25" i="17" s="1"/>
  <c r="G30" i="15"/>
  <c r="F26" i="17" s="1"/>
  <c r="C30" i="15"/>
  <c r="B26" i="17" s="1"/>
  <c r="C29" i="15"/>
  <c r="B25" i="17" s="1"/>
  <c r="C28" i="15"/>
  <c r="B24" i="17" s="1"/>
  <c r="C31" i="15"/>
  <c r="D29"/>
  <c r="C25" i="17" s="1"/>
  <c r="D31" i="15"/>
  <c r="D28"/>
  <c r="C24" i="17" s="1"/>
  <c r="D30" i="15"/>
  <c r="C26" i="17" s="1"/>
  <c r="E31" i="15"/>
  <c r="E28"/>
  <c r="D24" i="17" s="1"/>
  <c r="E29" i="15"/>
  <c r="D25" i="17" s="1"/>
  <c r="E30" i="15"/>
  <c r="D26" i="17" s="1"/>
  <c r="F28" i="15"/>
  <c r="E24" i="17" s="1"/>
  <c r="F29" i="15"/>
  <c r="E25" i="17" s="1"/>
  <c r="F30" i="15"/>
  <c r="E26" i="17" s="1"/>
  <c r="F31" i="15"/>
  <c r="C13" i="12" l="1"/>
  <c r="J13" l="1"/>
  <c r="C15"/>
  <c r="C24" s="1"/>
  <c r="C26" s="1"/>
  <c r="J26" l="1"/>
  <c r="J25" s="1"/>
  <c r="C17"/>
  <c r="J15"/>
  <c r="C6" i="5" s="1"/>
  <c r="C18" i="12"/>
  <c r="J18" s="1"/>
  <c r="C8" i="5" s="1"/>
  <c r="C13" s="1"/>
  <c r="J17" i="12" l="1"/>
  <c r="B17" i="17" s="1"/>
  <c r="L29" i="4"/>
  <c r="C14" i="5"/>
  <c r="B16" i="17"/>
  <c r="F13" i="12"/>
  <c r="F15" s="1"/>
  <c r="N13"/>
  <c r="E13"/>
  <c r="D13"/>
  <c r="K13" l="1"/>
  <c r="D15"/>
  <c r="L13"/>
  <c r="E15"/>
  <c r="C7" i="5"/>
  <c r="B8" i="17"/>
  <c r="B10"/>
  <c r="B9"/>
  <c r="B18"/>
  <c r="M15" i="12"/>
  <c r="F6" i="5" s="1"/>
  <c r="F24" i="12"/>
  <c r="F26" s="1"/>
  <c r="F17" s="1"/>
  <c r="M13"/>
  <c r="N15" l="1"/>
  <c r="G6" i="5" s="1"/>
  <c r="G24" i="12"/>
  <c r="G26" s="1"/>
  <c r="G17" s="1"/>
  <c r="N17" s="1"/>
  <c r="K15"/>
  <c r="D6" i="5" s="1"/>
  <c r="D24" i="12"/>
  <c r="D26" s="1"/>
  <c r="D17" s="1"/>
  <c r="L15"/>
  <c r="E6" i="5" s="1"/>
  <c r="E24" i="12"/>
  <c r="E26" s="1"/>
  <c r="E17" s="1"/>
  <c r="M26"/>
  <c r="M25" s="1"/>
  <c r="M17" l="1"/>
  <c r="O29" i="4"/>
  <c r="F18" i="12"/>
  <c r="M18" s="1"/>
  <c r="F8" i="5" s="1"/>
  <c r="L26" i="12"/>
  <c r="L25" s="1"/>
  <c r="K26"/>
  <c r="K25" s="1"/>
  <c r="N26"/>
  <c r="N25" s="1"/>
  <c r="P29" i="4" l="1"/>
  <c r="G18" i="12"/>
  <c r="N18" s="1"/>
  <c r="G8" i="5" s="1"/>
  <c r="N29" i="4"/>
  <c r="L17" i="12"/>
  <c r="E18"/>
  <c r="L18" s="1"/>
  <c r="E8" i="5" s="1"/>
  <c r="F13"/>
  <c r="F14"/>
  <c r="E16" i="17"/>
  <c r="E9"/>
  <c r="E10"/>
  <c r="E8"/>
  <c r="E17"/>
  <c r="E18"/>
  <c r="F7" i="5"/>
  <c r="K17" i="12"/>
  <c r="M29" i="4"/>
  <c r="D18" i="12"/>
  <c r="K18" s="1"/>
  <c r="D8" i="5" s="1"/>
  <c r="D14" l="1"/>
  <c r="D13"/>
  <c r="D7"/>
  <c r="C16" i="17"/>
  <c r="C18"/>
  <c r="C17"/>
  <c r="C8"/>
  <c r="C10"/>
  <c r="C9"/>
  <c r="E14" i="5"/>
  <c r="E13"/>
  <c r="D10" i="17"/>
  <c r="D16"/>
  <c r="D9"/>
  <c r="D18"/>
  <c r="D8"/>
  <c r="D17"/>
  <c r="E7" i="5"/>
  <c r="G14"/>
  <c r="G13"/>
  <c r="F10" i="17"/>
  <c r="F16"/>
  <c r="F17"/>
  <c r="F18"/>
  <c r="F8"/>
  <c r="F9"/>
  <c r="G7" i="5"/>
  <c r="C40" i="11" l="1"/>
  <c r="D34" s="1"/>
  <c r="D40" s="1"/>
  <c r="E34" s="1"/>
  <c r="E40" s="1"/>
  <c r="F34" l="1"/>
  <c r="F40" s="1"/>
  <c r="G34" s="1"/>
  <c r="G40" s="1"/>
</calcChain>
</file>

<file path=xl/comments1.xml><?xml version="1.0" encoding="utf-8"?>
<comments xmlns="http://schemas.openxmlformats.org/spreadsheetml/2006/main">
  <authors>
    <author>David Wessels</author>
  </authors>
  <commentList>
    <comment ref="C38" authorId="0">
      <text>
        <r>
          <rPr>
            <b/>
            <sz val="8"/>
            <color indexed="81"/>
            <rFont val="Tahoma"/>
            <family val="2"/>
          </rPr>
          <t>David Wessels:</t>
        </r>
        <r>
          <rPr>
            <sz val="8"/>
            <color indexed="81"/>
            <rFont val="Tahoma"/>
            <family val="2"/>
          </rPr>
          <t xml:space="preserve">
Application of IAS 19.93 A (recognition of actuarial gains/losses and deferred tax thereon in equity) and IFRS 2 (recognition of share-based payments in the
statement of income).</t>
        </r>
      </text>
    </comment>
  </commentList>
</comments>
</file>

<file path=xl/comments2.xml><?xml version="1.0" encoding="utf-8"?>
<comments xmlns="http://schemas.openxmlformats.org/spreadsheetml/2006/main">
  <authors>
    <author>Jonathan Reef</author>
  </authors>
  <commentList>
    <comment ref="O18" authorId="0">
      <text>
        <r>
          <rPr>
            <b/>
            <sz val="8"/>
            <color indexed="81"/>
            <rFont val="Tahoma"/>
            <family val="2"/>
          </rPr>
          <t>Jonathan Reef:</t>
        </r>
        <r>
          <rPr>
            <sz val="8"/>
            <color indexed="81"/>
            <rFont val="Tahoma"/>
            <family val="2"/>
          </rPr>
          <t xml:space="preserve">
From 08 annual report: Effective 2008, German corporation tax legislation stipulates a statutory tax rate of 15 percent plus the solidarity surcharge of 5.5 percent. After taking into account trade tax, this yields an effective tax rate of 31%.</t>
        </r>
      </text>
    </comment>
  </commentList>
</comments>
</file>

<file path=xl/sharedStrings.xml><?xml version="1.0" encoding="utf-8"?>
<sst xmlns="http://schemas.openxmlformats.org/spreadsheetml/2006/main" count="337" uniqueCount="220">
  <si>
    <t>Other non-current liabilities</t>
  </si>
  <si>
    <t>Subscribed capital</t>
  </si>
  <si>
    <t>Capital reserve</t>
  </si>
  <si>
    <t>Retained earnings</t>
  </si>
  <si>
    <t>Gains and losses recognized in equity</t>
  </si>
  <si>
    <t>Organic Growth</t>
  </si>
  <si>
    <t>Laundry &amp; Home Care</t>
  </si>
  <si>
    <t>Adhesive Technologies</t>
  </si>
  <si>
    <t>Cosmetics &amp; Personal Care</t>
  </si>
  <si>
    <t>After-tax Operating Profits</t>
  </si>
  <si>
    <t>Liabilities and Equity</t>
  </si>
  <si>
    <t>Employees</t>
  </si>
  <si>
    <t>Europe</t>
  </si>
  <si>
    <t>North America</t>
  </si>
  <si>
    <t>Latin America</t>
  </si>
  <si>
    <t>Asia-Pacific</t>
  </si>
  <si>
    <t>Total</t>
  </si>
  <si>
    <t>Region</t>
  </si>
  <si>
    <t>n/a</t>
  </si>
  <si>
    <t>Cost of sales</t>
  </si>
  <si>
    <t>Gross profit</t>
  </si>
  <si>
    <t>Total current assets</t>
  </si>
  <si>
    <t>Total assets</t>
  </si>
  <si>
    <t>Earnings before income taxes</t>
  </si>
  <si>
    <t>Total current liabilities</t>
  </si>
  <si>
    <t>Total liabilities</t>
  </si>
  <si>
    <t>Total liabilities and equity</t>
  </si>
  <si>
    <t>Invested Capital</t>
  </si>
  <si>
    <t>Net income</t>
  </si>
  <si>
    <t>General and administrative</t>
  </si>
  <si>
    <t>Income tax benefit (provision)</t>
  </si>
  <si>
    <t>Minority Interest</t>
  </si>
  <si>
    <t>Inventories</t>
  </si>
  <si>
    <t>Deferred income taxes</t>
  </si>
  <si>
    <t>Other current liabilities</t>
  </si>
  <si>
    <t>Henkel AG</t>
  </si>
  <si>
    <t>Pensions and similar obligations</t>
  </si>
  <si>
    <t>Other long-term provisions</t>
  </si>
  <si>
    <t>Long-term borrowings</t>
  </si>
  <si>
    <t>Deferred taxes</t>
  </si>
  <si>
    <t>Operating profit (EBIT)</t>
  </si>
  <si>
    <t>Other operating income</t>
  </si>
  <si>
    <t>Other operating  charges</t>
  </si>
  <si>
    <t>Marketing, selling, and distribution</t>
  </si>
  <si>
    <t>Interest (expense) income</t>
  </si>
  <si>
    <t>EUR millions</t>
  </si>
  <si>
    <t>Operating current assets</t>
  </si>
  <si>
    <t>Segment</t>
  </si>
  <si>
    <t>Operating current liabilities</t>
  </si>
  <si>
    <t>Working capital</t>
  </si>
  <si>
    <t>Intangible assets</t>
  </si>
  <si>
    <t>Excess cash</t>
  </si>
  <si>
    <t>Total funds invested</t>
  </si>
  <si>
    <t>Working cash</t>
  </si>
  <si>
    <t>Net financial assets (assets - liabilites)</t>
  </si>
  <si>
    <t>Business Sector</t>
  </si>
  <si>
    <t>Adhesives Technologies</t>
  </si>
  <si>
    <t>Cosmetics/Toiletries</t>
  </si>
  <si>
    <t>Coporate</t>
  </si>
  <si>
    <t>Entire Company</t>
  </si>
  <si>
    <t>Source: Lehman Brothers Estimates, UBS Estimates, JP Morgan Estimates &amp; Company reports</t>
  </si>
  <si>
    <t>Tax rates on investments</t>
  </si>
  <si>
    <t>Percent</t>
  </si>
  <si>
    <t>Marginal tax rate</t>
  </si>
  <si>
    <t>Return on Capital:</t>
  </si>
  <si>
    <t>Assets</t>
  </si>
  <si>
    <t>Net revenues</t>
  </si>
  <si>
    <t>Debt &amp; debt equivalents</t>
  </si>
  <si>
    <t>Stockholder equity</t>
  </si>
  <si>
    <t>Minority interest</t>
  </si>
  <si>
    <t>Operating taxes</t>
  </si>
  <si>
    <t>After-tax operating profits</t>
  </si>
  <si>
    <t>Operating tax rate</t>
  </si>
  <si>
    <t>Organic growth</t>
  </si>
  <si>
    <t>Currency fluctuation</t>
  </si>
  <si>
    <t>Portfolio change</t>
  </si>
  <si>
    <t>Reported revenue growth</t>
  </si>
  <si>
    <t>Tax free income</t>
  </si>
  <si>
    <t>Tax charge disclosed</t>
  </si>
  <si>
    <t>Earnings before taxes</t>
  </si>
  <si>
    <t>Production &amp; Engineering</t>
  </si>
  <si>
    <t>Research &amp; Development</t>
  </si>
  <si>
    <t>Administration</t>
  </si>
  <si>
    <t>Marketing, Selling, &amp; Distribution</t>
  </si>
  <si>
    <t>Function</t>
  </si>
  <si>
    <t xml:space="preserve">Research and development </t>
  </si>
  <si>
    <t>Other current assets</t>
  </si>
  <si>
    <t>Income tax refund claims</t>
  </si>
  <si>
    <t>Liquid funds/marketable securities</t>
  </si>
  <si>
    <t>Assets held for sale</t>
  </si>
  <si>
    <t>Investments in associates</t>
  </si>
  <si>
    <t>Other investments</t>
  </si>
  <si>
    <t>Other non current assets</t>
  </si>
  <si>
    <t>Short-term borrowings</t>
  </si>
  <si>
    <t>Current financial liabilities</t>
  </si>
  <si>
    <t>Corporate</t>
  </si>
  <si>
    <t>Income Statement</t>
  </si>
  <si>
    <t>Balance Sheet</t>
  </si>
  <si>
    <t>Investment result</t>
  </si>
  <si>
    <t>Other operating charges</t>
  </si>
  <si>
    <t>Write-downs of miscellaneous assets</t>
  </si>
  <si>
    <t xml:space="preserve">Losses on disposal of non-current assets </t>
  </si>
  <si>
    <t xml:space="preserve">Goodwill impairment losses </t>
  </si>
  <si>
    <t>Sundry operating expenses</t>
  </si>
  <si>
    <t>Release of doubtful debts</t>
  </si>
  <si>
    <t>Gains on disposal of non-current assets</t>
  </si>
  <si>
    <t>Profits on sale of businesses</t>
  </si>
  <si>
    <t>Release of provisions</t>
  </si>
  <si>
    <t>Write-ups of non-current assets</t>
  </si>
  <si>
    <t>Sundry operating income</t>
  </si>
  <si>
    <t>Current financial assets</t>
  </si>
  <si>
    <t>Long-term financial assets</t>
  </si>
  <si>
    <t>Accounts payable</t>
  </si>
  <si>
    <t>Noncurrent financial liabilities</t>
  </si>
  <si>
    <t>Taxes at statutory tax rate</t>
  </si>
  <si>
    <t>Operating</t>
  </si>
  <si>
    <t>Marginal</t>
  </si>
  <si>
    <t>Statutory</t>
  </si>
  <si>
    <t>Tax Breakout</t>
  </si>
  <si>
    <t>Nonoperating</t>
  </si>
  <si>
    <t>Effective taxes</t>
  </si>
  <si>
    <t>Tax Rates</t>
  </si>
  <si>
    <t>Effective tax rate</t>
  </si>
  <si>
    <t>Tax Reconciliation Table</t>
  </si>
  <si>
    <t>yes</t>
  </si>
  <si>
    <t>Other operating taxes</t>
  </si>
  <si>
    <t>Return on Invested Capital</t>
  </si>
  <si>
    <t>Reconciliation of Total Funds Invested</t>
  </si>
  <si>
    <t>Taxes due to tax rate changes</t>
  </si>
  <si>
    <t>Other operating profit - net</t>
  </si>
  <si>
    <t>Restructuring charges</t>
  </si>
  <si>
    <t>Operating Taxes</t>
  </si>
  <si>
    <t>Invested capital</t>
  </si>
  <si>
    <t>Percent of Sales</t>
  </si>
  <si>
    <t>Days Sales</t>
  </si>
  <si>
    <t>Capital Efficiency</t>
  </si>
  <si>
    <t>Tax increases/reductions for prior years</t>
  </si>
  <si>
    <t>Write-down of intangible assets</t>
  </si>
  <si>
    <t>Trade tax additions</t>
  </si>
  <si>
    <t>Non-deductible withholding tax</t>
  </si>
  <si>
    <t>Other non-deductible expenses</t>
  </si>
  <si>
    <t>Difference between local and domestic taxes</t>
  </si>
  <si>
    <t>Non-deductible losses</t>
  </si>
  <si>
    <t>Write-down of Ecolab sale</t>
  </si>
  <si>
    <t>Notes on "Trade Tax"</t>
  </si>
  <si>
    <t>The trade tax is levied on every trade or business (also permanent</t>
  </si>
  <si>
    <t>establishments) located in Germany. Municipalities are authorized</t>
  </si>
  <si>
    <t>to determine their own rate of assessment independently (as a multiplier</t>
  </si>
  <si>
    <t>not deductible as a business expense.</t>
  </si>
  <si>
    <t>of the base rate) which must be at least 200%. The trade tax is</t>
  </si>
  <si>
    <t>Property, plant, and equipment</t>
  </si>
  <si>
    <t>Trade accounts receivable</t>
  </si>
  <si>
    <t>Other short-term provisions</t>
  </si>
  <si>
    <t>Deferred taxes and tax provisions</t>
  </si>
  <si>
    <t>Income tax provisions and liabilities</t>
  </si>
  <si>
    <t>Other operating income, net</t>
  </si>
  <si>
    <t>Foreign exchange gains</t>
  </si>
  <si>
    <t>Foreign exchange losses</t>
  </si>
  <si>
    <t>Amortization of intangibles</t>
  </si>
  <si>
    <r>
      <t>Marketing, selling, and distribution</t>
    </r>
    <r>
      <rPr>
        <vertAlign val="superscript"/>
        <sz val="11"/>
        <rFont val="Calibri"/>
        <family val="2"/>
        <scheme val="minor"/>
      </rPr>
      <t>1</t>
    </r>
  </si>
  <si>
    <r>
      <t>Research and development</t>
    </r>
    <r>
      <rPr>
        <vertAlign val="superscript"/>
        <sz val="11"/>
        <rFont val="Calibri"/>
        <family val="2"/>
        <scheme val="minor"/>
      </rPr>
      <t>1</t>
    </r>
  </si>
  <si>
    <r>
      <t>Cost of sales</t>
    </r>
    <r>
      <rPr>
        <vertAlign val="superscript"/>
        <sz val="11"/>
        <rFont val="Calibri"/>
        <family val="2"/>
        <scheme val="minor"/>
      </rPr>
      <t>1</t>
    </r>
  </si>
  <si>
    <r>
      <t>General and administrative</t>
    </r>
    <r>
      <rPr>
        <vertAlign val="superscript"/>
        <sz val="11"/>
        <rFont val="Calibri"/>
        <family val="2"/>
        <scheme val="minor"/>
      </rPr>
      <t>1</t>
    </r>
  </si>
  <si>
    <t>Operating margin</t>
  </si>
  <si>
    <t>After-tax operating Margin</t>
  </si>
  <si>
    <t>Capital turnover (excl intangibles)</t>
  </si>
  <si>
    <t>Capital turnover (incl intangibles)</t>
  </si>
  <si>
    <t>ROIC (excluding intangibles)</t>
  </si>
  <si>
    <t>ROIC (including intangibles)</t>
  </si>
  <si>
    <t>After-tax Operating Margins</t>
  </si>
  <si>
    <t>Segment Data</t>
  </si>
  <si>
    <t>Source: Henkel 2009 Annual Report, page 86.</t>
  </si>
  <si>
    <t>Capital Employed (with goodwill)</t>
  </si>
  <si>
    <t>Capital Employed (without goodwill)</t>
  </si>
  <si>
    <r>
      <t>Revenues</t>
    </r>
    <r>
      <rPr>
        <b/>
        <vertAlign val="superscript"/>
        <sz val="11"/>
        <rFont val="Calibri"/>
        <family val="2"/>
        <scheme val="minor"/>
      </rPr>
      <t>1</t>
    </r>
  </si>
  <si>
    <r>
      <t>Operating Profit (EBIT)</t>
    </r>
    <r>
      <rPr>
        <b/>
        <vertAlign val="superscript"/>
        <sz val="11"/>
        <rFont val="Calibri"/>
        <family val="2"/>
        <scheme val="minor"/>
      </rPr>
      <t>1</t>
    </r>
  </si>
  <si>
    <r>
      <t>Goodwill</t>
    </r>
    <r>
      <rPr>
        <b/>
        <vertAlign val="superscript"/>
        <sz val="11"/>
        <rFont val="Calibri"/>
        <family val="2"/>
        <scheme val="minor"/>
      </rPr>
      <t>2</t>
    </r>
  </si>
  <si>
    <r>
      <t>Acquired Intangibles</t>
    </r>
    <r>
      <rPr>
        <b/>
        <vertAlign val="superscript"/>
        <sz val="11"/>
        <rFont val="Calibri"/>
        <family val="2"/>
        <scheme val="minor"/>
      </rPr>
      <t>2</t>
    </r>
  </si>
  <si>
    <t>Capital Turns (without goodwill)</t>
  </si>
  <si>
    <t>Capital Turns (excluding goodwill)</t>
  </si>
  <si>
    <t>Segment Analysis</t>
  </si>
  <si>
    <t>Operating Margin (EBITA)</t>
  </si>
  <si>
    <t>Invested capital without goodwill</t>
  </si>
  <si>
    <t>Invested capital with goodwill</t>
  </si>
  <si>
    <t>Reconciliation to Net Income</t>
  </si>
  <si>
    <t>Source: Henkel 2009 Annual Report, page 80</t>
  </si>
  <si>
    <t>Nonoperating taxes</t>
  </si>
  <si>
    <t>Source: Henkel 2009 Annual Report, page 81.</t>
  </si>
  <si>
    <t>Source: Henkel 2009 Annual Report, page 80.</t>
  </si>
  <si>
    <t>Source: Henkel 2009 Annual Report, note 6 (page 91) and note 7 (page 92)</t>
  </si>
  <si>
    <t>Note:</t>
  </si>
  <si>
    <t>Source: Henkel 2009 annual report, page 49</t>
  </si>
  <si>
    <r>
      <rPr>
        <i/>
        <vertAlign val="superscript"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 xml:space="preserve"> Henkel 2009 Annual Report, page 84.</t>
    </r>
  </si>
  <si>
    <r>
      <rPr>
        <i/>
        <vertAlign val="superscript"/>
        <sz val="11"/>
        <rFont val="Calibri"/>
        <family val="2"/>
        <scheme val="minor"/>
      </rPr>
      <t>2</t>
    </r>
    <r>
      <rPr>
        <i/>
        <sz val="11"/>
        <rFont val="Calibri"/>
        <family val="2"/>
        <scheme val="minor"/>
      </rPr>
      <t xml:space="preserve"> Henkel 2009 Annual Report, Note 11</t>
    </r>
  </si>
  <si>
    <t>Amortization (estimated)</t>
  </si>
  <si>
    <t>Other nonoperating income</t>
  </si>
  <si>
    <t>Other nonoperating charges</t>
  </si>
  <si>
    <t>Other "operating" charges</t>
  </si>
  <si>
    <t>Other "operating" income</t>
  </si>
  <si>
    <t>Statement of Retained Earnings</t>
  </si>
  <si>
    <t>Starting retained earnings</t>
  </si>
  <si>
    <t>Dividends</t>
  </si>
  <si>
    <t>Ending retained earnings</t>
  </si>
  <si>
    <t>Source: Henkel 2009 Annual Report, page 83.</t>
  </si>
  <si>
    <t>Other nonoperating income, net</t>
  </si>
  <si>
    <r>
      <rPr>
        <i/>
        <vertAlign val="superscript"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>Adjusted for restructuring charges in 2008, 2009</t>
    </r>
  </si>
  <si>
    <t>Sale of treasury &amp; retirements</t>
  </si>
  <si>
    <t>Actuarial gains and losses</t>
  </si>
  <si>
    <t>Other "operating" income (charges), split into operating and nonoperating, net</t>
  </si>
  <si>
    <t>Operating profit (EBITA)</t>
  </si>
  <si>
    <t>Marginal taxes on EBITA</t>
  </si>
  <si>
    <t>Amortization</t>
  </si>
  <si>
    <t>Depreciation</t>
  </si>
  <si>
    <t>Income prior to minority interest</t>
  </si>
  <si>
    <t>Net income to shareholders</t>
  </si>
  <si>
    <t>Depreciation and Amoritzation</t>
  </si>
  <si>
    <t>Adhesives</t>
  </si>
  <si>
    <t>Balance sheet restatement</t>
  </si>
  <si>
    <t>Since classification of an item as ongoing and related to core operations is (somewhat) subjective, make sure</t>
  </si>
  <si>
    <t>to create a spreadsheet that provides for flexibility in treatment.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</si>
</sst>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#,##0.0_);\(#,##0.0\)"/>
    <numFmt numFmtId="166" formatCode="#,##0\ ;\(#,##0.0\)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Helvetica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indexed="12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6" fontId="3" fillId="0" borderId="1"/>
    <xf numFmtId="9" fontId="1" fillId="0" borderId="0" applyFont="0" applyFill="0" applyBorder="0" applyAlignment="0" applyProtection="0"/>
    <xf numFmtId="0" fontId="13" fillId="0" borderId="0"/>
    <xf numFmtId="9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8" fillId="2" borderId="1" xfId="0" applyFont="1" applyFill="1" applyBorder="1"/>
    <xf numFmtId="37" fontId="9" fillId="0" borderId="0" xfId="0" applyNumberFormat="1" applyFont="1" applyFill="1"/>
    <xf numFmtId="37" fontId="9" fillId="0" borderId="0" xfId="0" applyNumberFormat="1" applyFont="1"/>
    <xf numFmtId="0" fontId="7" fillId="0" borderId="1" xfId="0" applyFont="1" applyBorder="1"/>
    <xf numFmtId="37" fontId="9" fillId="0" borderId="1" xfId="0" applyNumberFormat="1" applyFont="1" applyFill="1" applyBorder="1"/>
    <xf numFmtId="37" fontId="7" fillId="0" borderId="0" xfId="0" applyNumberFormat="1" applyFont="1"/>
    <xf numFmtId="37" fontId="7" fillId="0" borderId="0" xfId="0" applyNumberFormat="1" applyFont="1" applyFill="1"/>
    <xf numFmtId="0" fontId="7" fillId="0" borderId="0" xfId="0" applyFont="1" applyBorder="1"/>
    <xf numFmtId="37" fontId="9" fillId="0" borderId="0" xfId="0" applyNumberFormat="1" applyFont="1" applyBorder="1"/>
    <xf numFmtId="37" fontId="9" fillId="0" borderId="1" xfId="0" applyNumberFormat="1" applyFont="1" applyBorder="1"/>
    <xf numFmtId="0" fontId="7" fillId="0" borderId="0" xfId="0" applyFont="1" applyFill="1"/>
    <xf numFmtId="0" fontId="7" fillId="0" borderId="1" xfId="0" applyFont="1" applyFill="1" applyBorder="1"/>
    <xf numFmtId="0" fontId="7" fillId="0" borderId="2" xfId="0" applyFont="1" applyBorder="1"/>
    <xf numFmtId="37" fontId="7" fillId="0" borderId="2" xfId="0" applyNumberFormat="1" applyFont="1" applyBorder="1"/>
    <xf numFmtId="165" fontId="7" fillId="0" borderId="0" xfId="0" applyNumberFormat="1" applyFont="1"/>
    <xf numFmtId="37" fontId="9" fillId="0" borderId="0" xfId="0" applyNumberFormat="1" applyFont="1" applyFill="1" applyBorder="1"/>
    <xf numFmtId="164" fontId="9" fillId="0" borderId="0" xfId="0" applyNumberFormat="1" applyFont="1"/>
    <xf numFmtId="164" fontId="10" fillId="0" borderId="0" xfId="0" applyNumberFormat="1" applyFont="1"/>
    <xf numFmtId="164" fontId="9" fillId="0" borderId="0" xfId="2" applyNumberFormat="1" applyFont="1"/>
    <xf numFmtId="164" fontId="10" fillId="0" borderId="0" xfId="2" applyNumberFormat="1" applyFont="1"/>
    <xf numFmtId="164" fontId="7" fillId="0" borderId="2" xfId="0" applyNumberFormat="1" applyFont="1" applyBorder="1"/>
    <xf numFmtId="0" fontId="8" fillId="0" borderId="1" xfId="0" applyFont="1" applyFill="1" applyBorder="1"/>
    <xf numFmtId="37" fontId="10" fillId="0" borderId="0" xfId="0" applyNumberFormat="1" applyFont="1"/>
    <xf numFmtId="37" fontId="10" fillId="0" borderId="1" xfId="0" applyNumberFormat="1" applyFont="1" applyBorder="1"/>
    <xf numFmtId="37" fontId="7" fillId="0" borderId="1" xfId="0" applyNumberFormat="1" applyFont="1" applyBorder="1"/>
    <xf numFmtId="165" fontId="7" fillId="0" borderId="0" xfId="0" applyNumberFormat="1" applyFont="1" applyFill="1"/>
    <xf numFmtId="165" fontId="7" fillId="0" borderId="1" xfId="0" applyNumberFormat="1" applyFont="1" applyBorder="1"/>
    <xf numFmtId="0" fontId="7" fillId="0" borderId="3" xfId="0" applyFont="1" applyFill="1" applyBorder="1"/>
    <xf numFmtId="165" fontId="7" fillId="0" borderId="3" xfId="0" applyNumberFormat="1" applyFont="1" applyFill="1" applyBorder="1"/>
    <xf numFmtId="37" fontId="7" fillId="0" borderId="3" xfId="0" applyNumberFormat="1" applyFont="1" applyFill="1" applyBorder="1"/>
    <xf numFmtId="165" fontId="7" fillId="0" borderId="0" xfId="0" applyNumberFormat="1" applyFont="1" applyFill="1" applyBorder="1"/>
    <xf numFmtId="37" fontId="7" fillId="0" borderId="0" xfId="0" applyNumberFormat="1" applyFont="1" applyFill="1" applyBorder="1"/>
    <xf numFmtId="164" fontId="7" fillId="0" borderId="0" xfId="2" applyNumberFormat="1" applyFont="1"/>
    <xf numFmtId="165" fontId="7" fillId="0" borderId="1" xfId="0" applyNumberFormat="1" applyFont="1" applyFill="1" applyBorder="1"/>
    <xf numFmtId="37" fontId="7" fillId="0" borderId="1" xfId="0" applyNumberFormat="1" applyFont="1" applyFill="1" applyBorder="1"/>
    <xf numFmtId="0" fontId="8" fillId="0" borderId="2" xfId="0" applyFont="1" applyFill="1" applyBorder="1"/>
    <xf numFmtId="165" fontId="7" fillId="0" borderId="2" xfId="0" applyNumberFormat="1" applyFont="1" applyFill="1" applyBorder="1"/>
    <xf numFmtId="37" fontId="7" fillId="0" borderId="2" xfId="0" applyNumberFormat="1" applyFont="1" applyFill="1" applyBorder="1"/>
    <xf numFmtId="164" fontId="7" fillId="0" borderId="2" xfId="2" applyNumberFormat="1" applyFont="1" applyBorder="1"/>
    <xf numFmtId="0" fontId="7" fillId="0" borderId="0" xfId="0" applyFont="1" applyFill="1" applyBorder="1"/>
    <xf numFmtId="37" fontId="8" fillId="0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37" fontId="9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2" xfId="0" applyFont="1" applyFill="1" applyBorder="1"/>
    <xf numFmtId="37" fontId="7" fillId="0" borderId="0" xfId="0" applyNumberFormat="1" applyFont="1" applyFill="1" applyBorder="1" applyAlignment="1">
      <alignment horizontal="center"/>
    </xf>
    <xf numFmtId="37" fontId="7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right"/>
    </xf>
    <xf numFmtId="164" fontId="7" fillId="0" borderId="1" xfId="2" applyNumberFormat="1" applyFont="1" applyBorder="1"/>
    <xf numFmtId="37" fontId="7" fillId="0" borderId="0" xfId="0" applyNumberFormat="1" applyFont="1" applyBorder="1"/>
    <xf numFmtId="164" fontId="7" fillId="0" borderId="1" xfId="0" applyNumberFormat="1" applyFont="1" applyBorder="1"/>
    <xf numFmtId="164" fontId="7" fillId="0" borderId="0" xfId="2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39" fontId="7" fillId="0" borderId="0" xfId="0" applyNumberFormat="1" applyFont="1"/>
    <xf numFmtId="0" fontId="8" fillId="0" borderId="2" xfId="3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0" fontId="0" fillId="0" borderId="0" xfId="0" applyBorder="1"/>
    <xf numFmtId="37" fontId="0" fillId="0" borderId="0" xfId="0" applyNumberFormat="1"/>
    <xf numFmtId="0" fontId="15" fillId="0" borderId="0" xfId="0" applyFont="1"/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9" fillId="0" borderId="0" xfId="0" applyFont="1" applyBorder="1" applyAlignment="1">
      <alignment horizontal="center"/>
    </xf>
    <xf numFmtId="37" fontId="8" fillId="0" borderId="0" xfId="0" applyNumberFormat="1" applyFont="1"/>
    <xf numFmtId="37" fontId="1" fillId="0" borderId="2" xfId="0" applyNumberFormat="1" applyFont="1" applyBorder="1"/>
    <xf numFmtId="37" fontId="1" fillId="0" borderId="0" xfId="0" applyNumberFormat="1" applyFont="1"/>
    <xf numFmtId="0" fontId="7" fillId="0" borderId="0" xfId="0" applyFont="1" applyAlignment="1">
      <alignment horizontal="center" vertical="center" textRotation="180"/>
    </xf>
  </cellXfs>
  <cellStyles count="8">
    <cellStyle name="comma (0)" xfId="1"/>
    <cellStyle name="Comma 2" xfId="6"/>
    <cellStyle name="Normal" xfId="0" builtinId="0"/>
    <cellStyle name="Normal 2" xfId="5"/>
    <cellStyle name="Normal 3" xfId="3"/>
    <cellStyle name="Percent" xfId="2" builtinId="5"/>
    <cellStyle name="Percent 2" xfId="7"/>
    <cellStyle name="Percent 3" xfId="4"/>
  </cellStyles>
  <dxfs count="0"/>
  <tableStyles count="0" defaultTableStyle="TableStyleMedium9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53"/>
  <sheetViews>
    <sheetView tabSelected="1" zoomScale="85" zoomScaleNormal="85" workbookViewId="0">
      <selection activeCell="A2" sqref="A2"/>
    </sheetView>
  </sheetViews>
  <sheetFormatPr defaultRowHeight="15" outlineLevelCol="1"/>
  <cols>
    <col min="1" max="1" width="36.28515625" style="2" customWidth="1"/>
    <col min="2" max="2" width="9" style="2" hidden="1" customWidth="1" outlineLevel="1"/>
    <col min="3" max="3" width="9" style="2" customWidth="1" collapsed="1"/>
    <col min="4" max="8" width="9" style="2" customWidth="1"/>
    <col min="9" max="9" width="38.7109375" style="2" customWidth="1"/>
    <col min="10" max="10" width="9" style="2" hidden="1" customWidth="1" outlineLevel="1"/>
    <col min="11" max="11" width="9" style="2" customWidth="1" collapsed="1"/>
    <col min="12" max="15" width="9" style="2" customWidth="1"/>
    <col min="16" max="16384" width="9.140625" style="2"/>
  </cols>
  <sheetData>
    <row r="2" spans="1:15">
      <c r="A2" s="3" t="s">
        <v>35</v>
      </c>
      <c r="I2" s="3" t="str">
        <f>company_name</f>
        <v>Henkel AG</v>
      </c>
    </row>
    <row r="3" spans="1:15">
      <c r="A3" s="2" t="s">
        <v>96</v>
      </c>
      <c r="I3" s="2" t="s">
        <v>97</v>
      </c>
    </row>
    <row r="5" spans="1:15">
      <c r="A5" s="4" t="s">
        <v>45</v>
      </c>
      <c r="B5" s="4">
        <v>2004</v>
      </c>
      <c r="C5" s="4">
        <v>2005</v>
      </c>
      <c r="D5" s="4">
        <f>C5+1</f>
        <v>2006</v>
      </c>
      <c r="E5" s="4">
        <f>D5+1</f>
        <v>2007</v>
      </c>
      <c r="F5" s="4">
        <f>E5+1</f>
        <v>2008</v>
      </c>
      <c r="G5" s="4">
        <v>2009</v>
      </c>
      <c r="I5" s="4" t="s">
        <v>65</v>
      </c>
      <c r="J5" s="4">
        <v>2004</v>
      </c>
      <c r="K5" s="4">
        <v>2005</v>
      </c>
      <c r="L5" s="4">
        <f>K5+1</f>
        <v>2006</v>
      </c>
      <c r="M5" s="4">
        <f>L5+1</f>
        <v>2007</v>
      </c>
      <c r="N5" s="4">
        <f>M5+1</f>
        <v>2008</v>
      </c>
      <c r="O5" s="4">
        <f>N5+1</f>
        <v>2009</v>
      </c>
    </row>
    <row r="6" spans="1:15">
      <c r="A6" s="2" t="s">
        <v>66</v>
      </c>
      <c r="B6" s="5">
        <v>10592</v>
      </c>
      <c r="C6" s="5">
        <v>11974</v>
      </c>
      <c r="D6" s="5">
        <v>12740</v>
      </c>
      <c r="E6" s="5">
        <v>13074</v>
      </c>
      <c r="F6" s="5">
        <v>14131</v>
      </c>
      <c r="G6" s="5">
        <v>13573</v>
      </c>
      <c r="I6" s="2" t="s">
        <v>88</v>
      </c>
      <c r="J6" s="6">
        <v>1695</v>
      </c>
      <c r="K6" s="6">
        <v>1212</v>
      </c>
      <c r="L6" s="6">
        <v>929</v>
      </c>
      <c r="M6" s="6">
        <v>1440</v>
      </c>
      <c r="N6" s="6">
        <v>338</v>
      </c>
      <c r="O6" s="6">
        <v>1110</v>
      </c>
    </row>
    <row r="7" spans="1:15">
      <c r="A7" s="7" t="s">
        <v>19</v>
      </c>
      <c r="B7" s="8">
        <v>-5615</v>
      </c>
      <c r="C7" s="8">
        <v>-6533</v>
      </c>
      <c r="D7" s="8">
        <v>-6963</v>
      </c>
      <c r="E7" s="8">
        <v>-7013</v>
      </c>
      <c r="F7" s="8">
        <v>-8190</v>
      </c>
      <c r="G7" s="8">
        <v>-7411</v>
      </c>
      <c r="I7" s="2" t="s">
        <v>32</v>
      </c>
      <c r="J7" s="6">
        <v>1196</v>
      </c>
      <c r="K7" s="6">
        <v>1232</v>
      </c>
      <c r="L7" s="6">
        <v>1325</v>
      </c>
      <c r="M7" s="6">
        <v>1283</v>
      </c>
      <c r="N7" s="6">
        <v>1482</v>
      </c>
      <c r="O7" s="6">
        <v>1218</v>
      </c>
    </row>
    <row r="8" spans="1:15">
      <c r="A8" s="2" t="s">
        <v>20</v>
      </c>
      <c r="B8" s="10">
        <f t="shared" ref="B8:G8" si="0">SUM(B6:B7)</f>
        <v>4977</v>
      </c>
      <c r="C8" s="10">
        <f t="shared" si="0"/>
        <v>5441</v>
      </c>
      <c r="D8" s="10">
        <f t="shared" si="0"/>
        <v>5777</v>
      </c>
      <c r="E8" s="10">
        <f t="shared" si="0"/>
        <v>6061</v>
      </c>
      <c r="F8" s="10">
        <f t="shared" si="0"/>
        <v>5941</v>
      </c>
      <c r="G8" s="10">
        <f t="shared" si="0"/>
        <v>6162</v>
      </c>
      <c r="I8" s="2" t="s">
        <v>151</v>
      </c>
      <c r="J8" s="6">
        <v>1743</v>
      </c>
      <c r="K8" s="6">
        <v>1794</v>
      </c>
      <c r="L8" s="6">
        <v>1868</v>
      </c>
      <c r="M8" s="6">
        <v>1694</v>
      </c>
      <c r="N8" s="6">
        <v>1847</v>
      </c>
      <c r="O8" s="6">
        <v>1721</v>
      </c>
    </row>
    <row r="9" spans="1:15">
      <c r="B9" s="10"/>
      <c r="C9" s="10"/>
      <c r="D9" s="9"/>
      <c r="E9" s="9"/>
      <c r="F9" s="9"/>
      <c r="G9" s="10"/>
      <c r="I9" s="2" t="s">
        <v>87</v>
      </c>
      <c r="J9" s="6">
        <v>0</v>
      </c>
      <c r="K9" s="6">
        <v>121</v>
      </c>
      <c r="L9" s="6">
        <v>110</v>
      </c>
      <c r="M9" s="6">
        <v>90</v>
      </c>
      <c r="N9" s="6">
        <v>202</v>
      </c>
      <c r="O9" s="6">
        <v>139</v>
      </c>
    </row>
    <row r="10" spans="1:15">
      <c r="A10" s="14" t="s">
        <v>43</v>
      </c>
      <c r="B10" s="5">
        <v>-3156</v>
      </c>
      <c r="C10" s="5">
        <v>-3409</v>
      </c>
      <c r="D10" s="6">
        <v>-3650</v>
      </c>
      <c r="E10" s="6">
        <v>-3748</v>
      </c>
      <c r="F10" s="6">
        <v>-3993</v>
      </c>
      <c r="G10" s="5">
        <v>-3926</v>
      </c>
      <c r="I10" s="2" t="s">
        <v>110</v>
      </c>
      <c r="J10" s="6">
        <v>0</v>
      </c>
      <c r="K10" s="6">
        <v>0</v>
      </c>
      <c r="L10" s="6">
        <v>124</v>
      </c>
      <c r="M10" s="6">
        <v>170</v>
      </c>
      <c r="N10" s="6">
        <v>575</v>
      </c>
      <c r="O10" s="6">
        <v>214</v>
      </c>
    </row>
    <row r="11" spans="1:15">
      <c r="A11" s="14" t="s">
        <v>85</v>
      </c>
      <c r="B11" s="5">
        <v>-272</v>
      </c>
      <c r="C11" s="5">
        <v>-324</v>
      </c>
      <c r="D11" s="6">
        <v>-340</v>
      </c>
      <c r="E11" s="6">
        <v>-350</v>
      </c>
      <c r="F11" s="6">
        <v>-429</v>
      </c>
      <c r="G11" s="5">
        <v>-396</v>
      </c>
      <c r="I11" s="11" t="s">
        <v>89</v>
      </c>
      <c r="J11" s="12">
        <v>0</v>
      </c>
      <c r="K11" s="12">
        <v>142</v>
      </c>
      <c r="L11" s="12">
        <v>14</v>
      </c>
      <c r="M11" s="12">
        <v>125</v>
      </c>
      <c r="N11" s="12">
        <v>113</v>
      </c>
      <c r="O11" s="12">
        <v>30</v>
      </c>
    </row>
    <row r="12" spans="1:15">
      <c r="A12" s="43" t="s">
        <v>29</v>
      </c>
      <c r="B12" s="5">
        <v>-570</v>
      </c>
      <c r="C12" s="5">
        <v>-627</v>
      </c>
      <c r="D12" s="6">
        <v>-697</v>
      </c>
      <c r="E12" s="6">
        <v>-664</v>
      </c>
      <c r="F12" s="6">
        <v>-825</v>
      </c>
      <c r="G12" s="5">
        <v>-735</v>
      </c>
      <c r="I12" s="7" t="s">
        <v>86</v>
      </c>
      <c r="J12" s="13">
        <v>777</v>
      </c>
      <c r="K12" s="13">
        <v>378</v>
      </c>
      <c r="L12" s="13">
        <v>312</v>
      </c>
      <c r="M12" s="13">
        <v>315</v>
      </c>
      <c r="N12" s="13">
        <v>256</v>
      </c>
      <c r="O12" s="13">
        <v>224</v>
      </c>
    </row>
    <row r="13" spans="1:15">
      <c r="A13" s="14" t="s">
        <v>41</v>
      </c>
      <c r="B13" s="5">
        <v>146</v>
      </c>
      <c r="C13" s="5">
        <v>183</v>
      </c>
      <c r="D13" s="5">
        <v>266</v>
      </c>
      <c r="E13" s="5">
        <v>109</v>
      </c>
      <c r="F13" s="5">
        <v>160</v>
      </c>
      <c r="G13" s="5">
        <v>140</v>
      </c>
      <c r="I13" s="2" t="s">
        <v>21</v>
      </c>
      <c r="J13" s="9">
        <f>SUM(J6:J12)</f>
        <v>5411</v>
      </c>
      <c r="K13" s="9">
        <f>SUM(K6:K12)</f>
        <v>4879</v>
      </c>
      <c r="L13" s="9">
        <f>SUM(L6:L12)</f>
        <v>4682</v>
      </c>
      <c r="M13" s="9">
        <f>SUM(M6:M12)</f>
        <v>5117</v>
      </c>
      <c r="N13" s="9">
        <f>SUM(N6:N12)</f>
        <v>4813</v>
      </c>
      <c r="O13" s="9">
        <v>4656</v>
      </c>
    </row>
    <row r="14" spans="1:15">
      <c r="A14" s="15" t="s">
        <v>42</v>
      </c>
      <c r="B14" s="8">
        <f>-103-200-22</f>
        <v>-325</v>
      </c>
      <c r="C14" s="8">
        <f>-78-24</f>
        <v>-102</v>
      </c>
      <c r="D14" s="8">
        <v>-58</v>
      </c>
      <c r="E14" s="8">
        <v>-64</v>
      </c>
      <c r="F14" s="8">
        <v>-75</v>
      </c>
      <c r="G14" s="8">
        <v>-165</v>
      </c>
    </row>
    <row r="15" spans="1:15">
      <c r="A15" s="14" t="s">
        <v>40</v>
      </c>
      <c r="B15" s="10">
        <f t="shared" ref="B15:G15" si="1">SUM(B8:B14)</f>
        <v>800</v>
      </c>
      <c r="C15" s="10">
        <f t="shared" si="1"/>
        <v>1162</v>
      </c>
      <c r="D15" s="10">
        <f t="shared" si="1"/>
        <v>1298</v>
      </c>
      <c r="E15" s="10">
        <f t="shared" si="1"/>
        <v>1344</v>
      </c>
      <c r="F15" s="10">
        <f t="shared" si="1"/>
        <v>779</v>
      </c>
      <c r="G15" s="10">
        <f t="shared" si="1"/>
        <v>1080</v>
      </c>
      <c r="I15" s="2" t="s">
        <v>150</v>
      </c>
      <c r="J15" s="6">
        <f>1808-463-442-133</f>
        <v>770</v>
      </c>
      <c r="K15" s="6">
        <f>2045-530-151</f>
        <v>1364</v>
      </c>
      <c r="L15" s="6">
        <f>2078-L18-L19</f>
        <v>1516</v>
      </c>
      <c r="M15" s="6">
        <f>2077-M18-M19</f>
        <v>1749</v>
      </c>
      <c r="N15" s="6">
        <f>2361-N18-N19</f>
        <v>2337</v>
      </c>
      <c r="O15" s="6">
        <v>2248</v>
      </c>
    </row>
    <row r="16" spans="1:15">
      <c r="B16" s="14"/>
      <c r="C16" s="14"/>
      <c r="I16" s="2" t="s">
        <v>50</v>
      </c>
      <c r="J16" s="6">
        <v>4554</v>
      </c>
      <c r="K16" s="6">
        <v>5660</v>
      </c>
      <c r="L16" s="6">
        <v>5487</v>
      </c>
      <c r="M16" s="6">
        <v>4940</v>
      </c>
      <c r="N16" s="6">
        <v>8392</v>
      </c>
      <c r="O16" s="6">
        <v>8218</v>
      </c>
    </row>
    <row r="17" spans="1:16">
      <c r="A17" s="11" t="s">
        <v>98</v>
      </c>
      <c r="B17" s="19">
        <f>-408+1770-242+162+2</f>
        <v>1284</v>
      </c>
      <c r="C17" s="19">
        <f>72+18</f>
        <v>90</v>
      </c>
      <c r="D17" s="12">
        <v>54</v>
      </c>
      <c r="E17" s="12">
        <f>88-4</f>
        <v>84</v>
      </c>
      <c r="F17" s="12">
        <v>1123</v>
      </c>
      <c r="G17" s="12">
        <v>-4</v>
      </c>
      <c r="J17" s="9"/>
      <c r="K17" s="9"/>
      <c r="L17" s="9"/>
      <c r="M17" s="9"/>
      <c r="N17" s="9"/>
      <c r="O17" s="9"/>
    </row>
    <row r="18" spans="1:16">
      <c r="A18" s="7" t="s">
        <v>44</v>
      </c>
      <c r="B18" s="8">
        <v>-163</v>
      </c>
      <c r="C18" s="8">
        <f>70-280</f>
        <v>-210</v>
      </c>
      <c r="D18" s="13">
        <v>-176</v>
      </c>
      <c r="E18" s="13">
        <v>-178</v>
      </c>
      <c r="F18" s="13">
        <v>-275</v>
      </c>
      <c r="G18" s="13">
        <v>-191</v>
      </c>
      <c r="I18" s="2" t="s">
        <v>90</v>
      </c>
      <c r="J18" s="6">
        <v>463</v>
      </c>
      <c r="K18" s="6">
        <v>530</v>
      </c>
      <c r="L18" s="6">
        <v>496</v>
      </c>
      <c r="M18" s="6">
        <v>295</v>
      </c>
      <c r="N18" s="6">
        <v>1</v>
      </c>
      <c r="O18" s="6">
        <v>0</v>
      </c>
      <c r="P18" s="9"/>
    </row>
    <row r="19" spans="1:16">
      <c r="A19" s="2" t="s">
        <v>23</v>
      </c>
      <c r="B19" s="9">
        <f t="shared" ref="B19:F19" si="2">SUM(B15:B18)</f>
        <v>1921</v>
      </c>
      <c r="C19" s="9">
        <f t="shared" si="2"/>
        <v>1042</v>
      </c>
      <c r="D19" s="9">
        <f t="shared" si="2"/>
        <v>1176</v>
      </c>
      <c r="E19" s="9">
        <f t="shared" si="2"/>
        <v>1250</v>
      </c>
      <c r="F19" s="9">
        <f t="shared" si="2"/>
        <v>1627</v>
      </c>
      <c r="G19" s="9">
        <f>SUM(G15:G18)</f>
        <v>885</v>
      </c>
      <c r="I19" s="2" t="s">
        <v>91</v>
      </c>
      <c r="J19" s="6">
        <f>442+133</f>
        <v>575</v>
      </c>
      <c r="K19" s="6">
        <v>151</v>
      </c>
      <c r="L19" s="6">
        <v>66</v>
      </c>
      <c r="M19" s="6">
        <v>33</v>
      </c>
      <c r="N19" s="6">
        <v>23</v>
      </c>
      <c r="O19" s="6">
        <v>0</v>
      </c>
    </row>
    <row r="20" spans="1:16">
      <c r="B20" s="10"/>
      <c r="C20" s="10"/>
      <c r="D20" s="9"/>
      <c r="E20" s="9"/>
      <c r="F20" s="9"/>
      <c r="G20" s="9"/>
      <c r="I20" s="2" t="s">
        <v>111</v>
      </c>
      <c r="J20" s="6">
        <v>1038</v>
      </c>
      <c r="K20" s="6">
        <v>681</v>
      </c>
      <c r="L20" s="6">
        <f>562+70</f>
        <v>632</v>
      </c>
      <c r="M20" s="6">
        <f>528+70</f>
        <v>598</v>
      </c>
      <c r="N20" s="6">
        <v>199</v>
      </c>
      <c r="O20" s="6">
        <v>360</v>
      </c>
    </row>
    <row r="21" spans="1:16">
      <c r="A21" s="7" t="s">
        <v>30</v>
      </c>
      <c r="B21" s="8">
        <v>-185</v>
      </c>
      <c r="C21" s="8">
        <v>-272</v>
      </c>
      <c r="D21" s="13">
        <v>-305</v>
      </c>
      <c r="E21" s="13">
        <v>-309</v>
      </c>
      <c r="F21" s="13">
        <v>-394</v>
      </c>
      <c r="G21" s="13">
        <v>-257</v>
      </c>
      <c r="I21" s="2" t="s">
        <v>33</v>
      </c>
      <c r="J21" s="6">
        <v>327</v>
      </c>
      <c r="K21" s="6">
        <v>456</v>
      </c>
      <c r="L21" s="6">
        <v>363</v>
      </c>
      <c r="M21" s="6">
        <v>249</v>
      </c>
      <c r="N21" s="6">
        <v>305</v>
      </c>
      <c r="O21" s="6">
        <v>322</v>
      </c>
    </row>
    <row r="22" spans="1:16">
      <c r="A22" s="11" t="s">
        <v>213</v>
      </c>
      <c r="B22" s="35">
        <f t="shared" ref="B22:G22" si="3">SUM(B19:B21)</f>
        <v>1736</v>
      </c>
      <c r="C22" s="35">
        <f t="shared" si="3"/>
        <v>770</v>
      </c>
      <c r="D22" s="35">
        <f t="shared" si="3"/>
        <v>871</v>
      </c>
      <c r="E22" s="35">
        <f t="shared" si="3"/>
        <v>941</v>
      </c>
      <c r="F22" s="35">
        <f t="shared" si="3"/>
        <v>1233</v>
      </c>
      <c r="G22" s="35">
        <f t="shared" si="3"/>
        <v>628</v>
      </c>
      <c r="I22" s="2" t="s">
        <v>92</v>
      </c>
      <c r="J22" s="6">
        <v>0</v>
      </c>
      <c r="K22" s="6">
        <v>223</v>
      </c>
      <c r="L22" s="6">
        <f>99+5</f>
        <v>104</v>
      </c>
      <c r="M22" s="6">
        <f>67</f>
        <v>67</v>
      </c>
      <c r="N22" s="6">
        <f>4</f>
        <v>4</v>
      </c>
      <c r="O22" s="6">
        <v>14</v>
      </c>
      <c r="P22" s="9"/>
    </row>
    <row r="23" spans="1:16" ht="15.75" thickBot="1">
      <c r="B23" s="10"/>
      <c r="C23" s="10"/>
      <c r="D23" s="9"/>
      <c r="E23" s="9"/>
      <c r="F23" s="9"/>
      <c r="G23" s="9"/>
      <c r="I23" s="16" t="s">
        <v>22</v>
      </c>
      <c r="J23" s="17">
        <f>SUM(J13:J22)</f>
        <v>13138</v>
      </c>
      <c r="K23" s="17">
        <f t="shared" ref="K23:O23" si="4">SUM(K13:K22)</f>
        <v>13944</v>
      </c>
      <c r="L23" s="17">
        <f t="shared" si="4"/>
        <v>13346</v>
      </c>
      <c r="M23" s="17">
        <f t="shared" si="4"/>
        <v>13048</v>
      </c>
      <c r="N23" s="17">
        <f t="shared" si="4"/>
        <v>16074</v>
      </c>
      <c r="O23" s="17">
        <f t="shared" si="4"/>
        <v>15818</v>
      </c>
    </row>
    <row r="24" spans="1:16" ht="15.75" thickTop="1">
      <c r="A24" s="2" t="s">
        <v>69</v>
      </c>
      <c r="B24" s="19">
        <v>-1</v>
      </c>
      <c r="C24" s="19">
        <v>-13</v>
      </c>
      <c r="D24" s="12">
        <v>-16</v>
      </c>
      <c r="E24" s="12">
        <v>-20</v>
      </c>
      <c r="F24" s="12">
        <v>-12</v>
      </c>
      <c r="G24" s="12">
        <v>-26</v>
      </c>
    </row>
    <row r="25" spans="1:16" ht="15.75" thickBot="1">
      <c r="A25" s="16" t="s">
        <v>214</v>
      </c>
      <c r="B25" s="17">
        <f t="shared" ref="B25:G25" si="5">SUM(B22:B24)</f>
        <v>1735</v>
      </c>
      <c r="C25" s="17">
        <f t="shared" si="5"/>
        <v>757</v>
      </c>
      <c r="D25" s="17">
        <f t="shared" si="5"/>
        <v>855</v>
      </c>
      <c r="E25" s="17">
        <f t="shared" si="5"/>
        <v>921</v>
      </c>
      <c r="F25" s="17">
        <f t="shared" si="5"/>
        <v>1221</v>
      </c>
      <c r="G25" s="17">
        <f t="shared" si="5"/>
        <v>602</v>
      </c>
      <c r="J25" s="18"/>
      <c r="K25" s="18"/>
      <c r="L25" s="18"/>
      <c r="M25" s="18"/>
      <c r="N25" s="18"/>
      <c r="O25" s="18"/>
    </row>
    <row r="26" spans="1:16" ht="15.75" thickTop="1">
      <c r="I26" s="4" t="s">
        <v>10</v>
      </c>
      <c r="J26" s="4">
        <v>2004</v>
      </c>
      <c r="K26" s="4">
        <v>2005</v>
      </c>
      <c r="L26" s="4">
        <f>K26+1</f>
        <v>2006</v>
      </c>
      <c r="M26" s="4">
        <f>L26+1</f>
        <v>2007</v>
      </c>
      <c r="N26" s="4">
        <f>M26+1</f>
        <v>2008</v>
      </c>
      <c r="O26" s="4">
        <f>N26+1</f>
        <v>2009</v>
      </c>
    </row>
    <row r="27" spans="1:16">
      <c r="A27" s="67" t="s">
        <v>188</v>
      </c>
      <c r="B27"/>
      <c r="C27"/>
      <c r="D27"/>
      <c r="E27"/>
      <c r="F27"/>
      <c r="G27"/>
      <c r="I27" s="2" t="s">
        <v>93</v>
      </c>
      <c r="J27" s="6">
        <v>1789</v>
      </c>
      <c r="K27" s="6">
        <v>1405</v>
      </c>
      <c r="L27" s="6">
        <v>1012</v>
      </c>
      <c r="M27" s="6">
        <v>838</v>
      </c>
      <c r="N27" s="6">
        <v>1817</v>
      </c>
      <c r="O27" s="6">
        <v>660</v>
      </c>
    </row>
    <row r="28" spans="1:16">
      <c r="A28"/>
      <c r="B28"/>
      <c r="C28"/>
      <c r="D28"/>
      <c r="E28"/>
      <c r="F28"/>
      <c r="G28"/>
      <c r="I28" s="2" t="s">
        <v>112</v>
      </c>
      <c r="J28" s="6">
        <v>1099</v>
      </c>
      <c r="K28" s="6">
        <v>1333</v>
      </c>
      <c r="L28" s="6">
        <v>1494</v>
      </c>
      <c r="M28" s="6">
        <v>1477</v>
      </c>
      <c r="N28" s="6">
        <v>1678</v>
      </c>
      <c r="O28" s="6">
        <v>1885</v>
      </c>
      <c r="P28" s="6"/>
    </row>
    <row r="29" spans="1:16">
      <c r="A29"/>
      <c r="B29"/>
      <c r="C29"/>
      <c r="D29"/>
      <c r="E29"/>
      <c r="F29"/>
      <c r="G29"/>
      <c r="I29" s="2" t="s">
        <v>154</v>
      </c>
      <c r="J29" s="6">
        <v>0</v>
      </c>
      <c r="K29" s="6">
        <v>0</v>
      </c>
      <c r="L29" s="6">
        <f>108+27</f>
        <v>135</v>
      </c>
      <c r="M29" s="6">
        <f>152+15</f>
        <v>167</v>
      </c>
      <c r="N29" s="6">
        <v>354</v>
      </c>
      <c r="O29" s="6">
        <v>234</v>
      </c>
      <c r="P29" s="6"/>
    </row>
    <row r="30" spans="1:16">
      <c r="A30" s="3" t="str">
        <f>company_name</f>
        <v>Henkel AG</v>
      </c>
      <c r="I30" s="2" t="s">
        <v>94</v>
      </c>
      <c r="J30" s="6">
        <v>0</v>
      </c>
      <c r="K30" s="6">
        <v>0</v>
      </c>
      <c r="L30" s="6">
        <v>93</v>
      </c>
      <c r="M30" s="6">
        <v>246</v>
      </c>
      <c r="N30" s="6">
        <v>272</v>
      </c>
      <c r="O30" s="6">
        <v>145</v>
      </c>
    </row>
    <row r="31" spans="1:16">
      <c r="A31" s="2" t="s">
        <v>199</v>
      </c>
      <c r="I31" s="2" t="s">
        <v>152</v>
      </c>
      <c r="J31" s="6">
        <v>0</v>
      </c>
      <c r="K31" s="6">
        <v>932</v>
      </c>
      <c r="L31" s="6">
        <v>884</v>
      </c>
      <c r="M31" s="6">
        <v>763</v>
      </c>
      <c r="N31" s="6">
        <v>866</v>
      </c>
      <c r="O31" s="6">
        <v>938</v>
      </c>
    </row>
    <row r="32" spans="1:16">
      <c r="I32" s="7" t="s">
        <v>34</v>
      </c>
      <c r="J32" s="13">
        <v>478</v>
      </c>
      <c r="K32" s="13">
        <v>455</v>
      </c>
      <c r="L32" s="13">
        <v>224</v>
      </c>
      <c r="M32" s="13">
        <v>200</v>
      </c>
      <c r="N32" s="13">
        <v>306</v>
      </c>
      <c r="O32" s="13">
        <v>251</v>
      </c>
    </row>
    <row r="33" spans="1:16">
      <c r="A33" s="4" t="str">
        <f>currency</f>
        <v>EUR millions</v>
      </c>
      <c r="B33" s="4">
        <f t="shared" ref="B33:G33" si="6">B5</f>
        <v>2004</v>
      </c>
      <c r="C33" s="4">
        <f t="shared" si="6"/>
        <v>2005</v>
      </c>
      <c r="D33" s="4">
        <f t="shared" si="6"/>
        <v>2006</v>
      </c>
      <c r="E33" s="4">
        <f t="shared" si="6"/>
        <v>2007</v>
      </c>
      <c r="F33" s="4">
        <f t="shared" si="6"/>
        <v>2008</v>
      </c>
      <c r="G33" s="4">
        <f t="shared" si="6"/>
        <v>2009</v>
      </c>
      <c r="I33" s="2" t="s">
        <v>24</v>
      </c>
      <c r="J33" s="9">
        <f t="shared" ref="J33:O33" si="7">SUM(J27:J32)</f>
        <v>3366</v>
      </c>
      <c r="K33" s="9">
        <f t="shared" si="7"/>
        <v>4125</v>
      </c>
      <c r="L33" s="9">
        <f t="shared" si="7"/>
        <v>3842</v>
      </c>
      <c r="M33" s="9">
        <f t="shared" si="7"/>
        <v>3691</v>
      </c>
      <c r="N33" s="9">
        <f t="shared" si="7"/>
        <v>5293</v>
      </c>
      <c r="O33" s="9">
        <f t="shared" si="7"/>
        <v>4113</v>
      </c>
    </row>
    <row r="34" spans="1:16">
      <c r="A34" s="2" t="s">
        <v>200</v>
      </c>
      <c r="B34" s="12">
        <f>2788+167</f>
        <v>2955</v>
      </c>
      <c r="C34" s="9">
        <f>B40</f>
        <v>4544</v>
      </c>
      <c r="D34" s="9">
        <f>C40</f>
        <v>4764</v>
      </c>
      <c r="E34" s="9">
        <f>D40</f>
        <v>5362</v>
      </c>
      <c r="F34" s="9">
        <f>E40</f>
        <v>5963</v>
      </c>
      <c r="G34" s="9">
        <f>F40</f>
        <v>6805</v>
      </c>
    </row>
    <row r="35" spans="1:16">
      <c r="A35" s="2" t="s">
        <v>28</v>
      </c>
      <c r="B35" s="9">
        <f t="shared" ref="B35:G35" si="8">B25</f>
        <v>1735</v>
      </c>
      <c r="C35" s="9">
        <f t="shared" si="8"/>
        <v>757</v>
      </c>
      <c r="D35" s="9">
        <f t="shared" si="8"/>
        <v>855</v>
      </c>
      <c r="E35" s="9">
        <f t="shared" si="8"/>
        <v>921</v>
      </c>
      <c r="F35" s="9">
        <f t="shared" si="8"/>
        <v>1221</v>
      </c>
      <c r="G35" s="9">
        <f t="shared" si="8"/>
        <v>602</v>
      </c>
      <c r="I35" s="2" t="s">
        <v>38</v>
      </c>
      <c r="J35" s="6">
        <f>1017+368</f>
        <v>1385</v>
      </c>
      <c r="K35" s="6">
        <v>2400</v>
      </c>
      <c r="L35" s="6">
        <v>2322</v>
      </c>
      <c r="M35" s="6">
        <v>2304</v>
      </c>
      <c r="N35" s="6">
        <v>2402</v>
      </c>
      <c r="O35" s="6">
        <v>3426</v>
      </c>
    </row>
    <row r="36" spans="1:16">
      <c r="A36" s="2" t="s">
        <v>201</v>
      </c>
      <c r="B36" s="12">
        <v>-167</v>
      </c>
      <c r="C36" s="12">
        <v>-181</v>
      </c>
      <c r="D36" s="12">
        <v>-190</v>
      </c>
      <c r="E36" s="12">
        <v>-211</v>
      </c>
      <c r="F36" s="12">
        <v>-224</v>
      </c>
      <c r="G36" s="12">
        <v>-224</v>
      </c>
      <c r="I36" s="2" t="s">
        <v>36</v>
      </c>
      <c r="J36" s="6">
        <v>1815</v>
      </c>
      <c r="K36" s="6">
        <v>1061</v>
      </c>
      <c r="L36" s="6">
        <v>788</v>
      </c>
      <c r="M36" s="6">
        <v>657</v>
      </c>
      <c r="N36" s="6">
        <v>833</v>
      </c>
      <c r="O36" s="6">
        <v>867</v>
      </c>
      <c r="P36" s="6"/>
    </row>
    <row r="37" spans="1:16">
      <c r="A37" s="2" t="s">
        <v>206</v>
      </c>
      <c r="B37" s="12">
        <v>0</v>
      </c>
      <c r="C37" s="12">
        <v>8</v>
      </c>
      <c r="D37" s="12">
        <v>47</v>
      </c>
      <c r="E37" s="12">
        <f>14-64</f>
        <v>-50</v>
      </c>
      <c r="F37" s="12">
        <f>4+1</f>
        <v>5</v>
      </c>
      <c r="G37" s="12">
        <f>6+4</f>
        <v>10</v>
      </c>
      <c r="I37" s="2" t="s">
        <v>113</v>
      </c>
      <c r="J37" s="6">
        <v>0</v>
      </c>
      <c r="K37" s="6">
        <v>0</v>
      </c>
      <c r="L37" s="6">
        <v>118</v>
      </c>
      <c r="M37" s="6">
        <v>147</v>
      </c>
      <c r="N37" s="6">
        <v>77</v>
      </c>
      <c r="O37" s="6">
        <v>88</v>
      </c>
      <c r="P37" s="6"/>
    </row>
    <row r="38" spans="1:16">
      <c r="A38" s="2" t="s">
        <v>217</v>
      </c>
      <c r="B38" s="12">
        <v>0</v>
      </c>
      <c r="C38" s="12">
        <v>-258</v>
      </c>
      <c r="D38" s="12">
        <v>0</v>
      </c>
      <c r="E38" s="12">
        <v>0</v>
      </c>
      <c r="F38" s="12">
        <v>0</v>
      </c>
      <c r="G38" s="12">
        <v>0</v>
      </c>
      <c r="I38" s="11" t="s">
        <v>153</v>
      </c>
      <c r="J38" s="12">
        <v>455</v>
      </c>
      <c r="K38" s="12">
        <f>473+427</f>
        <v>900</v>
      </c>
      <c r="L38" s="12">
        <f>427+168</f>
        <v>595</v>
      </c>
      <c r="M38" s="12">
        <f>314+100</f>
        <v>414</v>
      </c>
      <c r="N38" s="12">
        <v>589</v>
      </c>
      <c r="O38" s="12">
        <f>152+367</f>
        <v>519</v>
      </c>
      <c r="P38" s="6"/>
    </row>
    <row r="39" spans="1:16">
      <c r="A39" s="2" t="s">
        <v>207</v>
      </c>
      <c r="B39" s="12">
        <v>21</v>
      </c>
      <c r="C39" s="12">
        <f>-140+34</f>
        <v>-106</v>
      </c>
      <c r="D39" s="12">
        <f>-121+7</f>
        <v>-114</v>
      </c>
      <c r="E39" s="12">
        <f>-7-52</f>
        <v>-59</v>
      </c>
      <c r="F39" s="12">
        <f>-186+26</f>
        <v>-160</v>
      </c>
      <c r="G39" s="12">
        <v>-285</v>
      </c>
      <c r="I39" s="2" t="s">
        <v>37</v>
      </c>
      <c r="J39" s="6">
        <v>1513</v>
      </c>
      <c r="K39" s="6">
        <v>0</v>
      </c>
      <c r="L39" s="6">
        <v>126</v>
      </c>
      <c r="M39" s="6">
        <v>119</v>
      </c>
      <c r="N39" s="6">
        <v>336</v>
      </c>
      <c r="O39" s="6">
        <v>241</v>
      </c>
    </row>
    <row r="40" spans="1:16" ht="15.75" thickBot="1">
      <c r="A40" s="16" t="s">
        <v>202</v>
      </c>
      <c r="B40" s="17">
        <f t="shared" ref="B40:G40" si="9">SUM(B34:B39)</f>
        <v>4544</v>
      </c>
      <c r="C40" s="17">
        <f t="shared" si="9"/>
        <v>4764</v>
      </c>
      <c r="D40" s="17">
        <f t="shared" si="9"/>
        <v>5362</v>
      </c>
      <c r="E40" s="17">
        <f t="shared" si="9"/>
        <v>5963</v>
      </c>
      <c r="F40" s="17">
        <f t="shared" si="9"/>
        <v>6805</v>
      </c>
      <c r="G40" s="17">
        <f t="shared" si="9"/>
        <v>6908</v>
      </c>
      <c r="I40" s="7" t="s">
        <v>0</v>
      </c>
      <c r="J40" s="13">
        <v>0</v>
      </c>
      <c r="K40" s="13">
        <v>59</v>
      </c>
      <c r="L40" s="13">
        <v>8</v>
      </c>
      <c r="M40" s="13">
        <v>10</v>
      </c>
      <c r="N40" s="13">
        <v>9</v>
      </c>
      <c r="O40" s="13">
        <v>20</v>
      </c>
      <c r="P40" s="6"/>
    </row>
    <row r="41" spans="1:16" ht="15.75" thickTop="1">
      <c r="I41" s="2" t="s">
        <v>25</v>
      </c>
      <c r="J41" s="9">
        <f t="shared" ref="J41:O41" si="10">SUM(J33:J40)</f>
        <v>8534</v>
      </c>
      <c r="K41" s="9">
        <f t="shared" si="10"/>
        <v>8545</v>
      </c>
      <c r="L41" s="9">
        <f t="shared" si="10"/>
        <v>7799</v>
      </c>
      <c r="M41" s="9">
        <f t="shared" si="10"/>
        <v>7342</v>
      </c>
      <c r="N41" s="9">
        <f t="shared" si="10"/>
        <v>9539</v>
      </c>
      <c r="O41" s="9">
        <f t="shared" si="10"/>
        <v>9274</v>
      </c>
      <c r="P41" s="19"/>
    </row>
    <row r="42" spans="1:16">
      <c r="A42" s="67" t="s">
        <v>203</v>
      </c>
      <c r="C42" s="9"/>
    </row>
    <row r="43" spans="1:16">
      <c r="I43" s="2" t="s">
        <v>31</v>
      </c>
      <c r="J43" s="6">
        <v>16</v>
      </c>
      <c r="K43" s="6">
        <v>28</v>
      </c>
      <c r="L43" s="6">
        <v>60</v>
      </c>
      <c r="M43" s="6">
        <v>63</v>
      </c>
      <c r="N43" s="6">
        <v>51</v>
      </c>
      <c r="O43" s="6">
        <v>70</v>
      </c>
    </row>
    <row r="44" spans="1:16">
      <c r="J44" s="9"/>
      <c r="K44" s="9"/>
      <c r="L44" s="9"/>
      <c r="M44" s="9"/>
      <c r="N44" s="9"/>
      <c r="O44" s="9"/>
    </row>
    <row r="45" spans="1:16">
      <c r="I45" s="2" t="s">
        <v>1</v>
      </c>
      <c r="J45" s="6">
        <v>374</v>
      </c>
      <c r="K45" s="6">
        <v>374</v>
      </c>
      <c r="L45" s="6">
        <v>374</v>
      </c>
      <c r="M45" s="6">
        <v>438</v>
      </c>
      <c r="N45" s="6">
        <v>438</v>
      </c>
      <c r="O45" s="6">
        <v>438</v>
      </c>
    </row>
    <row r="46" spans="1:16">
      <c r="I46" s="2" t="s">
        <v>2</v>
      </c>
      <c r="J46" s="6">
        <v>652</v>
      </c>
      <c r="K46" s="6">
        <v>652</v>
      </c>
      <c r="L46" s="6">
        <v>652</v>
      </c>
      <c r="M46" s="6">
        <v>652</v>
      </c>
      <c r="N46" s="6">
        <v>652</v>
      </c>
      <c r="O46" s="6">
        <v>652</v>
      </c>
    </row>
    <row r="47" spans="1:16">
      <c r="I47" s="2" t="s">
        <v>3</v>
      </c>
      <c r="J47" s="6">
        <f>4359+185</f>
        <v>4544</v>
      </c>
      <c r="K47" s="6">
        <v>4764</v>
      </c>
      <c r="L47" s="6">
        <v>5362</v>
      </c>
      <c r="M47" s="6">
        <v>5963</v>
      </c>
      <c r="N47" s="6">
        <v>6805</v>
      </c>
      <c r="O47" s="6">
        <v>6908</v>
      </c>
    </row>
    <row r="48" spans="1:16">
      <c r="I48" s="2" t="s">
        <v>4</v>
      </c>
      <c r="J48" s="6">
        <v>-982</v>
      </c>
      <c r="K48" s="6">
        <v>-419</v>
      </c>
      <c r="L48" s="6">
        <v>-901</v>
      </c>
      <c r="M48" s="6">
        <v>-1410</v>
      </c>
      <c r="N48" s="6">
        <v>-1411</v>
      </c>
      <c r="O48" s="6">
        <v>-1524</v>
      </c>
    </row>
    <row r="49" spans="9:15" ht="15.75" thickBot="1">
      <c r="I49" s="16" t="s">
        <v>26</v>
      </c>
      <c r="J49" s="17">
        <f>SUM(J41:J48)</f>
        <v>13138</v>
      </c>
      <c r="K49" s="17">
        <f t="shared" ref="K49:O49" si="11">SUM(K41:K48)</f>
        <v>13944</v>
      </c>
      <c r="L49" s="17">
        <f t="shared" si="11"/>
        <v>13346</v>
      </c>
      <c r="M49" s="17">
        <f t="shared" si="11"/>
        <v>13048</v>
      </c>
      <c r="N49" s="17">
        <f t="shared" si="11"/>
        <v>16074</v>
      </c>
      <c r="O49" s="17">
        <f t="shared" si="11"/>
        <v>15818</v>
      </c>
    </row>
    <row r="50" spans="9:15" ht="15.75" thickTop="1"/>
    <row r="51" spans="9:15">
      <c r="I51" s="67" t="s">
        <v>187</v>
      </c>
      <c r="N51" s="9"/>
    </row>
    <row r="53" spans="9:15">
      <c r="N53" s="9"/>
    </row>
  </sheetData>
  <pageMargins left="0.7" right="0.7" top="0.75" bottom="0.25" header="0.3" footer="0.3"/>
  <pageSetup scale="70" orientation="landscape" r:id="rId1"/>
  <headerFooter>
    <oddHeader>&amp;C&amp;"Calibri,Bold"&amp;12Henkel AG
FInancial Statements</oddHeader>
  </headerFooter>
  <ignoredErrors>
    <ignoredError sqref="G8 K13 J14:K22 J13 J24:K33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V54"/>
  <sheetViews>
    <sheetView zoomScale="85" zoomScaleNormal="85" workbookViewId="0">
      <selection activeCell="A2" sqref="A2"/>
    </sheetView>
  </sheetViews>
  <sheetFormatPr defaultRowHeight="15" outlineLevelCol="1"/>
  <cols>
    <col min="1" max="1" width="41.42578125" style="2" bestFit="1" customWidth="1"/>
    <col min="2" max="2" width="9.140625" style="2" hidden="1" customWidth="1" outlineLevel="1"/>
    <col min="3" max="3" width="9.42578125" style="2" bestFit="1" customWidth="1" collapsed="1"/>
    <col min="4" max="7" width="9.42578125" style="2" bestFit="1" customWidth="1"/>
    <col min="8" max="8" width="9.140625" style="2"/>
    <col min="9" max="9" width="9.28515625" style="2" hidden="1" customWidth="1" outlineLevel="1"/>
    <col min="10" max="10" width="9.42578125" style="2" bestFit="1" customWidth="1" collapsed="1"/>
    <col min="11" max="11" width="9.42578125" style="2" bestFit="1" customWidth="1"/>
    <col min="12" max="13" width="10.28515625" style="2" bestFit="1" customWidth="1"/>
    <col min="14" max="14" width="9.42578125" style="2" bestFit="1" customWidth="1"/>
    <col min="15" max="15" width="9.140625" style="2"/>
    <col min="23" max="16384" width="9.140625" style="2"/>
  </cols>
  <sheetData>
    <row r="2" spans="1:15" s="2" customFormat="1">
      <c r="A2" s="3" t="str">
        <f>company_name</f>
        <v>Henkel AG</v>
      </c>
      <c r="J2" s="3" t="str">
        <f>company_name</f>
        <v>Henkel AG</v>
      </c>
    </row>
    <row r="3" spans="1:15" s="2" customFormat="1">
      <c r="A3" s="2" t="s">
        <v>27</v>
      </c>
      <c r="J3" s="2" t="s">
        <v>135</v>
      </c>
    </row>
    <row r="4" spans="1:15" s="2" customFormat="1">
      <c r="A4" s="11"/>
      <c r="B4" s="11"/>
      <c r="C4" s="11"/>
      <c r="D4" s="11"/>
      <c r="E4" s="11"/>
      <c r="F4" s="11"/>
    </row>
    <row r="5" spans="1:15" s="2" customFormat="1">
      <c r="A5" s="4" t="str">
        <f>Financials!A5</f>
        <v>EUR millions</v>
      </c>
      <c r="B5" s="4">
        <v>2004</v>
      </c>
      <c r="C5" s="4">
        <f>B5+1</f>
        <v>2005</v>
      </c>
      <c r="D5" s="4">
        <f>C5+1</f>
        <v>2006</v>
      </c>
      <c r="E5" s="4">
        <f>D5+1</f>
        <v>2007</v>
      </c>
      <c r="F5" s="4">
        <f>E5+1</f>
        <v>2008</v>
      </c>
      <c r="G5" s="4">
        <f>F5+1</f>
        <v>2009</v>
      </c>
      <c r="I5" s="4">
        <v>2004</v>
      </c>
      <c r="J5" s="4">
        <f>I5+1</f>
        <v>2005</v>
      </c>
      <c r="K5" s="4">
        <f>J5+1</f>
        <v>2006</v>
      </c>
      <c r="L5" s="4">
        <f>K5+1</f>
        <v>2007</v>
      </c>
      <c r="M5" s="4">
        <f>L5+1</f>
        <v>2008</v>
      </c>
      <c r="N5" s="4">
        <f>M5+1</f>
        <v>2009</v>
      </c>
    </row>
    <row r="6" spans="1:15" s="2" customFormat="1">
      <c r="A6" s="14" t="s">
        <v>53</v>
      </c>
      <c r="B6" s="29">
        <f>MIN(0.02*Financials!B6, Financials!B6)</f>
        <v>211.84</v>
      </c>
      <c r="C6" s="10">
        <f>MIN(0.02*Financials!C6, Financials!C6)</f>
        <v>239.48000000000002</v>
      </c>
      <c r="D6" s="10">
        <f>MIN(0.02*Financials!D6, Financials!D6)</f>
        <v>254.8</v>
      </c>
      <c r="E6" s="10">
        <f>MIN(0.02*Financials!E6, Financials!E6)</f>
        <v>261.48</v>
      </c>
      <c r="F6" s="10">
        <f>MIN(0.02*Financials!F6, Financials!F6)</f>
        <v>282.62</v>
      </c>
      <c r="G6" s="10">
        <f>MIN(0.02*Financials!G6, Financials!G6)</f>
        <v>271.45999999999998</v>
      </c>
      <c r="I6" s="18">
        <f>365*B6/NOPLAT!B$6</f>
        <v>7.3000000000000007</v>
      </c>
      <c r="J6" s="18">
        <f>365*C6/NOPLAT!C$6</f>
        <v>7.3000000000000007</v>
      </c>
      <c r="K6" s="18">
        <f>365*D6/NOPLAT!D$6</f>
        <v>7.3</v>
      </c>
      <c r="L6" s="18">
        <f>365*E6/NOPLAT!E$6</f>
        <v>7.3000000000000007</v>
      </c>
      <c r="M6" s="18">
        <f>365*F6/NOPLAT!F$6</f>
        <v>7.3</v>
      </c>
      <c r="N6" s="18">
        <f>365*G6/NOPLAT!G$6</f>
        <v>7.3</v>
      </c>
      <c r="O6" s="74" t="s">
        <v>134</v>
      </c>
    </row>
    <row r="7" spans="1:15" s="2" customFormat="1">
      <c r="A7" s="14" t="str">
        <f>Financials!I7</f>
        <v>Inventories</v>
      </c>
      <c r="B7" s="29">
        <f>Financials!J7</f>
        <v>1196</v>
      </c>
      <c r="C7" s="10">
        <f>Financials!K7</f>
        <v>1232</v>
      </c>
      <c r="D7" s="10">
        <f>Financials!L7</f>
        <v>1325</v>
      </c>
      <c r="E7" s="10">
        <f>Financials!M7</f>
        <v>1283</v>
      </c>
      <c r="F7" s="10">
        <f>Financials!N7</f>
        <v>1482</v>
      </c>
      <c r="G7" s="10">
        <f>Financials!O7</f>
        <v>1218</v>
      </c>
      <c r="I7" s="18">
        <f>365*B7/NOPLAT!B$6</f>
        <v>41.214123867069489</v>
      </c>
      <c r="J7" s="18">
        <f>365*C7/NOPLAT!C$6</f>
        <v>37.55470185401704</v>
      </c>
      <c r="K7" s="18">
        <f>365*D7/NOPLAT!D$6</f>
        <v>37.961145996860282</v>
      </c>
      <c r="L7" s="18">
        <f>365*E7/NOPLAT!E$6</f>
        <v>35.81880067309163</v>
      </c>
      <c r="M7" s="18">
        <f>365*F7/NOPLAT!F$6</f>
        <v>38.279668813247469</v>
      </c>
      <c r="N7" s="18">
        <f>365*G7/NOPLAT!G$6</f>
        <v>32.753996905621456</v>
      </c>
      <c r="O7" s="74"/>
    </row>
    <row r="8" spans="1:15" s="2" customFormat="1">
      <c r="A8" s="14" t="str">
        <f>Financials!I8</f>
        <v>Trade accounts receivable</v>
      </c>
      <c r="B8" s="29">
        <f>Financials!J8</f>
        <v>1743</v>
      </c>
      <c r="C8" s="10">
        <f>Financials!K8</f>
        <v>1794</v>
      </c>
      <c r="D8" s="10">
        <f>Financials!L8</f>
        <v>1868</v>
      </c>
      <c r="E8" s="10">
        <f>Financials!M8</f>
        <v>1694</v>
      </c>
      <c r="F8" s="10">
        <f>Financials!N8</f>
        <v>1847</v>
      </c>
      <c r="G8" s="10">
        <f>Financials!O8</f>
        <v>1721</v>
      </c>
      <c r="I8" s="18">
        <f>365*B8/NOPLAT!B$6</f>
        <v>60.063727341389729</v>
      </c>
      <c r="J8" s="18">
        <f>365*C8/NOPLAT!C$6</f>
        <v>54.685986303657927</v>
      </c>
      <c r="K8" s="18">
        <f>365*D8/NOPLAT!D$6</f>
        <v>53.518053375196232</v>
      </c>
      <c r="L8" s="18">
        <f>365*E8/NOPLAT!E$6</f>
        <v>47.293100810769467</v>
      </c>
      <c r="M8" s="18">
        <f>365*F8/NOPLAT!F$6</f>
        <v>47.707522468332037</v>
      </c>
      <c r="N8" s="18">
        <f>365*G8/NOPLAT!G$6</f>
        <v>46.280483312458557</v>
      </c>
      <c r="O8" s="74"/>
    </row>
    <row r="9" spans="1:15" s="2" customFormat="1">
      <c r="A9" s="14" t="str">
        <f>Financials!I9</f>
        <v>Income tax refund claims</v>
      </c>
      <c r="B9" s="29">
        <f>Financials!J9</f>
        <v>0</v>
      </c>
      <c r="C9" s="10">
        <f>Financials!K9</f>
        <v>121</v>
      </c>
      <c r="D9" s="10">
        <f>Financials!L9</f>
        <v>110</v>
      </c>
      <c r="E9" s="10">
        <f>Financials!M9</f>
        <v>90</v>
      </c>
      <c r="F9" s="10">
        <f>Financials!N9</f>
        <v>202</v>
      </c>
      <c r="G9" s="10">
        <f>Financials!O9</f>
        <v>139</v>
      </c>
      <c r="I9" s="18">
        <f>365*B9/NOPLAT!B$6</f>
        <v>0</v>
      </c>
      <c r="J9" s="18">
        <f>365*C9/NOPLAT!C$6</f>
        <v>3.6884082178052449</v>
      </c>
      <c r="K9" s="18">
        <f>365*D9/NOPLAT!D$6</f>
        <v>3.1514913657770802</v>
      </c>
      <c r="L9" s="18">
        <f>365*E9/NOPLAT!E$6</f>
        <v>2.5126204681046351</v>
      </c>
      <c r="M9" s="18">
        <f>365*F9/NOPLAT!F$6</f>
        <v>5.2176066803481707</v>
      </c>
      <c r="N9" s="18">
        <f>365*G9/NOPLAT!G$6</f>
        <v>3.7379356074559786</v>
      </c>
      <c r="O9" s="74"/>
    </row>
    <row r="10" spans="1:15" s="2" customFormat="1">
      <c r="A10" s="14" t="str">
        <f>Financials!I12</f>
        <v>Other current assets</v>
      </c>
      <c r="B10" s="29">
        <f>Financials!J12</f>
        <v>777</v>
      </c>
      <c r="C10" s="10">
        <f>Financials!K12</f>
        <v>378</v>
      </c>
      <c r="D10" s="10">
        <f>Financials!L12</f>
        <v>312</v>
      </c>
      <c r="E10" s="10">
        <f>Financials!M12</f>
        <v>315</v>
      </c>
      <c r="F10" s="10">
        <f>Financials!N12</f>
        <v>256</v>
      </c>
      <c r="G10" s="10">
        <f>Financials!O12</f>
        <v>224</v>
      </c>
      <c r="I10" s="30">
        <f>365*B10/NOPLAT!B$6</f>
        <v>26.77539652567976</v>
      </c>
      <c r="J10" s="30">
        <f>365*C10/NOPLAT!C$6</f>
        <v>11.522465341573408</v>
      </c>
      <c r="K10" s="30">
        <f>365*D10/NOPLAT!D$6</f>
        <v>8.9387755102040813</v>
      </c>
      <c r="L10" s="30">
        <f>365*E10/NOPLAT!E$6</f>
        <v>8.7941716383662225</v>
      </c>
      <c r="M10" s="30">
        <f>365*F10/NOPLAT!F$6</f>
        <v>6.6124124265798603</v>
      </c>
      <c r="N10" s="30">
        <f>365*G10/NOPLAT!G$6</f>
        <v>6.0237235688499222</v>
      </c>
      <c r="O10" s="74"/>
    </row>
    <row r="11" spans="1:15" s="2" customFormat="1">
      <c r="A11" s="31" t="s">
        <v>46</v>
      </c>
      <c r="B11" s="32">
        <f t="shared" ref="B11:G11" si="0">SUM(B6:B10)</f>
        <v>3927.84</v>
      </c>
      <c r="C11" s="33">
        <f t="shared" si="0"/>
        <v>3764.48</v>
      </c>
      <c r="D11" s="33">
        <f t="shared" si="0"/>
        <v>3869.8</v>
      </c>
      <c r="E11" s="33">
        <f t="shared" si="0"/>
        <v>3643.48</v>
      </c>
      <c r="F11" s="33">
        <f t="shared" si="0"/>
        <v>4069.62</v>
      </c>
      <c r="G11" s="33">
        <f t="shared" si="0"/>
        <v>3573.46</v>
      </c>
      <c r="I11" s="18">
        <f>365*B11/NOPLAT!B$6</f>
        <v>135.35324773413899</v>
      </c>
      <c r="J11" s="18">
        <f>365*C11/NOPLAT!C$6</f>
        <v>114.75156171705362</v>
      </c>
      <c r="K11" s="18">
        <f>365*D11/NOPLAT!D$6</f>
        <v>110.86946624803768</v>
      </c>
      <c r="L11" s="18">
        <f>365*E11/NOPLAT!E$6</f>
        <v>101.71869359033195</v>
      </c>
      <c r="M11" s="18">
        <f>365*F11/NOPLAT!F$6</f>
        <v>105.11721038850754</v>
      </c>
      <c r="N11" s="18">
        <f>365*G11/NOPLAT!G$6</f>
        <v>96.096139394385901</v>
      </c>
      <c r="O11" s="74"/>
    </row>
    <row r="12" spans="1:15" s="2" customFormat="1">
      <c r="A12" s="14"/>
      <c r="B12" s="14"/>
      <c r="C12" s="10"/>
      <c r="D12" s="10"/>
      <c r="E12" s="10"/>
      <c r="F12" s="10"/>
      <c r="G12" s="10"/>
      <c r="I12" s="18"/>
      <c r="J12" s="18"/>
      <c r="K12" s="18"/>
      <c r="L12" s="18"/>
      <c r="M12" s="18"/>
      <c r="N12" s="18"/>
      <c r="O12" s="74"/>
    </row>
    <row r="13" spans="1:15" s="2" customFormat="1">
      <c r="A13" s="14" t="str">
        <f>Financials!I29</f>
        <v>Income tax provisions and liabilities</v>
      </c>
      <c r="B13" s="29">
        <f>Financials!J29</f>
        <v>0</v>
      </c>
      <c r="C13" s="10">
        <f>Financials!K29</f>
        <v>0</v>
      </c>
      <c r="D13" s="10">
        <f>Financials!L29</f>
        <v>135</v>
      </c>
      <c r="E13" s="10">
        <f>Financials!M29</f>
        <v>167</v>
      </c>
      <c r="F13" s="10">
        <f>Financials!N29</f>
        <v>354</v>
      </c>
      <c r="G13" s="10">
        <f>Financials!O29</f>
        <v>234</v>
      </c>
      <c r="I13" s="18">
        <f>365*B13/NOPLAT!B$6</f>
        <v>0</v>
      </c>
      <c r="J13" s="18">
        <f>365*C13/NOPLAT!C$6</f>
        <v>0</v>
      </c>
      <c r="K13" s="18">
        <f>365*D13/NOPLAT!D$6</f>
        <v>3.8677394034536894</v>
      </c>
      <c r="L13" s="18">
        <f>365*E13/NOPLAT!E$6</f>
        <v>4.6623068685941567</v>
      </c>
      <c r="M13" s="18">
        <f>365*F13/NOPLAT!F$6</f>
        <v>9.1437265586299628</v>
      </c>
      <c r="N13" s="18">
        <f>365*G13/NOPLAT!G$6</f>
        <v>6.292639799602151</v>
      </c>
      <c r="O13" s="74"/>
    </row>
    <row r="14" spans="1:15" s="2" customFormat="1">
      <c r="A14" s="14" t="str">
        <f>Financials!I31</f>
        <v>Other short-term provisions</v>
      </c>
      <c r="B14" s="29">
        <f>Financials!J31</f>
        <v>0</v>
      </c>
      <c r="C14" s="10">
        <f>Financials!K31</f>
        <v>932</v>
      </c>
      <c r="D14" s="10">
        <f>Financials!L31</f>
        <v>884</v>
      </c>
      <c r="E14" s="10">
        <f>Financials!M31</f>
        <v>763</v>
      </c>
      <c r="F14" s="10">
        <f>Financials!N31</f>
        <v>866</v>
      </c>
      <c r="G14" s="10">
        <f>Financials!O31</f>
        <v>938</v>
      </c>
      <c r="I14" s="18">
        <f>365*B14/NOPLAT!B$6</f>
        <v>0</v>
      </c>
      <c r="J14" s="18">
        <f>365*C14/NOPLAT!C$6</f>
        <v>28.409888090863539</v>
      </c>
      <c r="K14" s="18">
        <f>365*D14/NOPLAT!D$6</f>
        <v>25.326530612244898</v>
      </c>
      <c r="L14" s="18">
        <f>365*E14/NOPLAT!E$6</f>
        <v>21.301437968487072</v>
      </c>
      <c r="M14" s="18">
        <f>365*F14/NOPLAT!F$6</f>
        <v>22.368551411789682</v>
      </c>
      <c r="N14" s="18">
        <f>365*G14/NOPLAT!G$6</f>
        <v>25.224342444559053</v>
      </c>
      <c r="O14" s="74"/>
    </row>
    <row r="15" spans="1:15" s="2" customFormat="1">
      <c r="A15" s="14" t="str">
        <f>Financials!I28</f>
        <v>Accounts payable</v>
      </c>
      <c r="B15" s="29">
        <f>Financials!J28</f>
        <v>1099</v>
      </c>
      <c r="C15" s="10">
        <f>Financials!K28</f>
        <v>1333</v>
      </c>
      <c r="D15" s="10">
        <f>Financials!L28</f>
        <v>1494</v>
      </c>
      <c r="E15" s="10">
        <f>Financials!M28</f>
        <v>1477</v>
      </c>
      <c r="F15" s="10">
        <f>Financials!N28</f>
        <v>1678</v>
      </c>
      <c r="G15" s="10">
        <f>Financials!O28</f>
        <v>1885</v>
      </c>
      <c r="I15" s="18">
        <f>365*B15/NOPLAT!B$6</f>
        <v>37.871506797583081</v>
      </c>
      <c r="J15" s="18">
        <f>365*C15/NOPLAT!C$6</f>
        <v>40.633455820945379</v>
      </c>
      <c r="K15" s="18">
        <f>365*D15/NOPLAT!D$6</f>
        <v>42.80298273155416</v>
      </c>
      <c r="L15" s="18">
        <f>365*E15/NOPLAT!E$6</f>
        <v>41.234893682117182</v>
      </c>
      <c r="M15" s="18">
        <f>365*F15/NOPLAT!F$6</f>
        <v>43.342297077347673</v>
      </c>
      <c r="N15" s="18">
        <f>365*G15/NOPLAT!G$6</f>
        <v>50.690709496795108</v>
      </c>
      <c r="O15" s="74"/>
    </row>
    <row r="16" spans="1:15" s="2" customFormat="1">
      <c r="A16" s="14" t="str">
        <f>Financials!I32</f>
        <v>Other current liabilities</v>
      </c>
      <c r="B16" s="29">
        <f>Financials!J32</f>
        <v>478</v>
      </c>
      <c r="C16" s="10">
        <f>Financials!K32</f>
        <v>455</v>
      </c>
      <c r="D16" s="10">
        <f>Financials!L32</f>
        <v>224</v>
      </c>
      <c r="E16" s="10">
        <f>Financials!M32</f>
        <v>200</v>
      </c>
      <c r="F16" s="10">
        <f>Financials!N32</f>
        <v>306</v>
      </c>
      <c r="G16" s="10">
        <f>Financials!O32</f>
        <v>251</v>
      </c>
      <c r="I16" s="30">
        <f>365*B16/NOPLAT!B$6</f>
        <v>16.471865558912388</v>
      </c>
      <c r="J16" s="30">
        <f>365*C16/NOPLAT!C$6</f>
        <v>13.869634207449474</v>
      </c>
      <c r="K16" s="30">
        <f>365*D16/NOPLAT!D$6</f>
        <v>6.4175824175824179</v>
      </c>
      <c r="L16" s="30">
        <f>365*E16/NOPLAT!E$6</f>
        <v>5.5836010402325229</v>
      </c>
      <c r="M16" s="30">
        <f>365*F16/NOPLAT!F$6</f>
        <v>7.9038992286462388</v>
      </c>
      <c r="N16" s="30">
        <f>365*G16/NOPLAT!G$6</f>
        <v>6.7497973918809402</v>
      </c>
      <c r="O16" s="74"/>
    </row>
    <row r="17" spans="1:22">
      <c r="A17" s="31" t="s">
        <v>48</v>
      </c>
      <c r="B17" s="32">
        <f t="shared" ref="B17:G17" si="1">SUM(B13:B16)</f>
        <v>1577</v>
      </c>
      <c r="C17" s="33">
        <f t="shared" si="1"/>
        <v>2720</v>
      </c>
      <c r="D17" s="33">
        <f t="shared" si="1"/>
        <v>2737</v>
      </c>
      <c r="E17" s="33">
        <f t="shared" si="1"/>
        <v>2607</v>
      </c>
      <c r="F17" s="33">
        <f t="shared" si="1"/>
        <v>3204</v>
      </c>
      <c r="G17" s="33">
        <f t="shared" si="1"/>
        <v>3308</v>
      </c>
      <c r="I17" s="18">
        <f>365*B17/NOPLAT!B$6</f>
        <v>54.343372356495472</v>
      </c>
      <c r="J17" s="18">
        <f>365*C17/NOPLAT!C$6</f>
        <v>82.912978119258398</v>
      </c>
      <c r="K17" s="18">
        <f>365*D17/NOPLAT!D$6</f>
        <v>78.414835164835168</v>
      </c>
      <c r="L17" s="18">
        <f>365*E17/NOPLAT!E$6</f>
        <v>72.782239559430934</v>
      </c>
      <c r="M17" s="18">
        <f>365*F17/NOPLAT!F$6</f>
        <v>82.758474276413565</v>
      </c>
      <c r="N17" s="18">
        <f>365*G17/NOPLAT!G$6</f>
        <v>88.957489132837253</v>
      </c>
      <c r="O17" s="74"/>
      <c r="P17" s="2"/>
      <c r="Q17" s="2"/>
      <c r="R17" s="2"/>
      <c r="S17" s="2"/>
      <c r="T17" s="2"/>
      <c r="U17" s="2"/>
      <c r="V17" s="2"/>
    </row>
    <row r="18" spans="1:22">
      <c r="A18" s="14"/>
      <c r="B18" s="14"/>
      <c r="C18" s="10"/>
      <c r="D18" s="10"/>
      <c r="E18" s="10"/>
      <c r="F18" s="10"/>
      <c r="G18" s="10"/>
      <c r="I18" s="18"/>
      <c r="J18" s="18"/>
      <c r="K18" s="18"/>
      <c r="L18" s="18"/>
      <c r="M18" s="18"/>
      <c r="N18" s="18"/>
      <c r="P18" s="2"/>
      <c r="Q18" s="2"/>
      <c r="R18" s="2"/>
      <c r="S18" s="2"/>
      <c r="T18" s="2"/>
      <c r="U18" s="2"/>
      <c r="V18" s="2"/>
    </row>
    <row r="19" spans="1:22">
      <c r="A19" s="14" t="s">
        <v>49</v>
      </c>
      <c r="B19" s="34">
        <f t="shared" ref="B19:G19" si="2">B11-B17</f>
        <v>2350.84</v>
      </c>
      <c r="C19" s="35">
        <f t="shared" si="2"/>
        <v>1044.48</v>
      </c>
      <c r="D19" s="35">
        <f t="shared" si="2"/>
        <v>1132.8000000000002</v>
      </c>
      <c r="E19" s="35">
        <f t="shared" si="2"/>
        <v>1036.48</v>
      </c>
      <c r="F19" s="35">
        <f t="shared" si="2"/>
        <v>865.61999999999989</v>
      </c>
      <c r="G19" s="35">
        <f t="shared" si="2"/>
        <v>265.46000000000004</v>
      </c>
      <c r="I19" s="36">
        <f>B19/NOPLAT!B$6</f>
        <v>0.22194486404833838</v>
      </c>
      <c r="J19" s="36">
        <f>C19/NOPLAT!C$6</f>
        <v>8.7228996158343078E-2</v>
      </c>
      <c r="K19" s="36">
        <f>D19/NOPLAT!D$6</f>
        <v>8.8916797488226076E-2</v>
      </c>
      <c r="L19" s="36">
        <f>E19/NOPLAT!E$6</f>
        <v>7.9277956249043907E-2</v>
      </c>
      <c r="M19" s="36">
        <f>F19/NOPLAT!F$6</f>
        <v>6.1256811266010888E-2</v>
      </c>
      <c r="N19" s="36">
        <f>G19/NOPLAT!G$6</f>
        <v>1.9557945922051134E-2</v>
      </c>
      <c r="O19" s="74" t="s">
        <v>133</v>
      </c>
      <c r="P19" s="2"/>
      <c r="Q19" s="2"/>
      <c r="R19" s="2"/>
      <c r="S19" s="2"/>
      <c r="T19" s="2"/>
      <c r="U19" s="2"/>
      <c r="V19" s="2"/>
    </row>
    <row r="20" spans="1:22">
      <c r="A20" s="14" t="str">
        <f>Financials!I15</f>
        <v>Property, plant, and equipment</v>
      </c>
      <c r="B20" s="29">
        <f>Financials!J15</f>
        <v>770</v>
      </c>
      <c r="C20" s="10">
        <f>Financials!K15</f>
        <v>1364</v>
      </c>
      <c r="D20" s="10">
        <f>Financials!L15</f>
        <v>1516</v>
      </c>
      <c r="E20" s="10">
        <f>Financials!M15</f>
        <v>1749</v>
      </c>
      <c r="F20" s="10">
        <f>Financials!N15</f>
        <v>2337</v>
      </c>
      <c r="G20" s="10">
        <f>Financials!O15</f>
        <v>2248</v>
      </c>
      <c r="I20" s="36">
        <f>B20/NOPLAT!B$6</f>
        <v>7.2696374622356494E-2</v>
      </c>
      <c r="J20" s="36">
        <f>C20/NOPLAT!C$6</f>
        <v>0.11391347920494405</v>
      </c>
      <c r="K20" s="36">
        <f>D20/NOPLAT!D$6</f>
        <v>0.11899529042386185</v>
      </c>
      <c r="L20" s="36">
        <f>E20/NOPLAT!E$6</f>
        <v>0.13377696190913263</v>
      </c>
      <c r="M20" s="36">
        <f>F20/NOPLAT!F$6</f>
        <v>0.16538107706460972</v>
      </c>
      <c r="N20" s="36">
        <f>G20/NOPLAT!G$6</f>
        <v>0.16562292787150962</v>
      </c>
      <c r="O20" s="74"/>
      <c r="P20" s="2"/>
      <c r="Q20" s="2"/>
      <c r="R20" s="2"/>
      <c r="S20" s="2"/>
      <c r="T20" s="2"/>
      <c r="U20" s="2"/>
      <c r="V20" s="2"/>
    </row>
    <row r="21" spans="1:22">
      <c r="A21" s="14" t="str">
        <f>Financials!I22</f>
        <v>Other non current assets</v>
      </c>
      <c r="B21" s="29">
        <f>Financials!J22</f>
        <v>0</v>
      </c>
      <c r="C21" s="10">
        <f>Financials!K22</f>
        <v>223</v>
      </c>
      <c r="D21" s="10">
        <f>Financials!L22</f>
        <v>104</v>
      </c>
      <c r="E21" s="10">
        <f>Financials!M22</f>
        <v>67</v>
      </c>
      <c r="F21" s="10">
        <f>Financials!N22</f>
        <v>4</v>
      </c>
      <c r="G21" s="10">
        <f>Financials!O22</f>
        <v>14</v>
      </c>
      <c r="I21" s="36">
        <f>B21/NOPLAT!B$6</f>
        <v>0</v>
      </c>
      <c r="J21" s="36">
        <f>C21/NOPLAT!C$6</f>
        <v>1.8623684650075162E-2</v>
      </c>
      <c r="K21" s="36">
        <f>D21/NOPLAT!D$6</f>
        <v>8.1632653061224497E-3</v>
      </c>
      <c r="L21" s="36">
        <f>E21/NOPLAT!E$6</f>
        <v>5.1246749273366988E-3</v>
      </c>
      <c r="M21" s="36">
        <f>F21/NOPLAT!F$6</f>
        <v>2.8306560045290494E-4</v>
      </c>
      <c r="N21" s="36">
        <f>G21/NOPLAT!G$6</f>
        <v>1.0314595152140279E-3</v>
      </c>
      <c r="O21" s="74"/>
      <c r="P21" s="2"/>
      <c r="Q21" s="2"/>
      <c r="R21" s="2"/>
      <c r="S21" s="2"/>
      <c r="T21" s="2"/>
      <c r="U21" s="2"/>
      <c r="V21" s="2"/>
    </row>
    <row r="22" spans="1:22">
      <c r="A22" s="15" t="str">
        <f>Financials!I40</f>
        <v>Other non-current liabilities</v>
      </c>
      <c r="B22" s="37">
        <f>-Financials!J40</f>
        <v>0</v>
      </c>
      <c r="C22" s="38">
        <f>-Financials!K40</f>
        <v>-59</v>
      </c>
      <c r="D22" s="38">
        <f>-Financials!L40</f>
        <v>-8</v>
      </c>
      <c r="E22" s="38">
        <f>-Financials!M40</f>
        <v>-10</v>
      </c>
      <c r="F22" s="38">
        <f>-Financials!N40</f>
        <v>-9</v>
      </c>
      <c r="G22" s="38">
        <f>-Financials!O40</f>
        <v>-20</v>
      </c>
      <c r="I22" s="36">
        <f>B22/NOPLAT!B$6</f>
        <v>0</v>
      </c>
      <c r="J22" s="36">
        <f>C22/NOPLAT!C$6</f>
        <v>-4.927342575580424E-3</v>
      </c>
      <c r="K22" s="36">
        <f>D22/NOPLAT!D$6</f>
        <v>-6.2794348508634224E-4</v>
      </c>
      <c r="L22" s="36">
        <f>E22/NOPLAT!E$6</f>
        <v>-7.6487685482637294E-4</v>
      </c>
      <c r="M22" s="36">
        <f>F22/NOPLAT!F$6</f>
        <v>-6.3689760101903617E-4</v>
      </c>
      <c r="N22" s="36">
        <f>G22/NOPLAT!G$6</f>
        <v>-1.4735135931628969E-3</v>
      </c>
      <c r="O22" s="74"/>
      <c r="P22" s="2"/>
      <c r="Q22" s="2"/>
      <c r="R22" s="2"/>
      <c r="S22" s="2"/>
      <c r="T22" s="2"/>
      <c r="U22" s="2"/>
      <c r="V22" s="2"/>
    </row>
    <row r="23" spans="1:22" ht="15.75" thickBot="1">
      <c r="A23" s="39" t="s">
        <v>182</v>
      </c>
      <c r="B23" s="40">
        <f t="shared" ref="B23:G23" si="3">SUM(B19:B22)</f>
        <v>3120.84</v>
      </c>
      <c r="C23" s="41">
        <f t="shared" si="3"/>
        <v>2572.48</v>
      </c>
      <c r="D23" s="41">
        <f t="shared" si="3"/>
        <v>2744.8</v>
      </c>
      <c r="E23" s="41">
        <f t="shared" si="3"/>
        <v>2842.48</v>
      </c>
      <c r="F23" s="41">
        <f t="shared" si="3"/>
        <v>3197.62</v>
      </c>
      <c r="G23" s="41">
        <f t="shared" si="3"/>
        <v>2507.46</v>
      </c>
      <c r="I23" s="42">
        <f>B23/NOPLAT!B$6</f>
        <v>0.29464123867069486</v>
      </c>
      <c r="J23" s="42">
        <f>C23/NOPLAT!C$6</f>
        <v>0.21483881743778185</v>
      </c>
      <c r="K23" s="42">
        <f>D23/NOPLAT!D$6</f>
        <v>0.21544740973312404</v>
      </c>
      <c r="L23" s="42">
        <f>E23/NOPLAT!E$6</f>
        <v>0.21741471623068687</v>
      </c>
      <c r="M23" s="42">
        <f>F23/NOPLAT!F$6</f>
        <v>0.22628405633005449</v>
      </c>
      <c r="N23" s="42">
        <f>G23/NOPLAT!G$6</f>
        <v>0.18473881971561187</v>
      </c>
      <c r="O23" s="74"/>
      <c r="P23" s="2"/>
      <c r="Q23" s="2"/>
      <c r="R23" s="2"/>
      <c r="S23" s="2"/>
      <c r="T23" s="2"/>
      <c r="U23" s="2"/>
      <c r="V23" s="2"/>
    </row>
    <row r="24" spans="1:22" ht="15.75" thickTop="1">
      <c r="A24" s="14"/>
      <c r="B24" s="14"/>
      <c r="C24" s="10"/>
      <c r="D24" s="10"/>
      <c r="E24" s="10"/>
      <c r="F24" s="10"/>
      <c r="G24" s="10"/>
      <c r="I24" s="36"/>
      <c r="J24" s="36"/>
      <c r="K24" s="36"/>
      <c r="L24" s="36"/>
      <c r="M24" s="36"/>
      <c r="N24" s="36"/>
      <c r="O24" s="74"/>
      <c r="P24" s="2"/>
      <c r="Q24" s="2"/>
      <c r="R24" s="2"/>
      <c r="S24" s="2"/>
      <c r="T24" s="2"/>
      <c r="U24" s="2"/>
      <c r="V24" s="2"/>
    </row>
    <row r="25" spans="1:22">
      <c r="A25" s="14" t="s">
        <v>50</v>
      </c>
      <c r="B25" s="29">
        <f>Financials!J16</f>
        <v>4554</v>
      </c>
      <c r="C25" s="10">
        <f>Financials!K16</f>
        <v>5660</v>
      </c>
      <c r="D25" s="10">
        <f>Financials!L16</f>
        <v>5487</v>
      </c>
      <c r="E25" s="10">
        <f>Financials!M16</f>
        <v>4940</v>
      </c>
      <c r="F25" s="10">
        <f>Financials!N16</f>
        <v>8392</v>
      </c>
      <c r="G25" s="10">
        <f>Financials!O16</f>
        <v>8218</v>
      </c>
      <c r="I25" s="36">
        <f>B25/NOPLAT!B$6</f>
        <v>0.42994712990936557</v>
      </c>
      <c r="J25" s="36">
        <f>C25/NOPLAT!C$6</f>
        <v>0.47269083013195257</v>
      </c>
      <c r="K25" s="36">
        <f>D25/NOPLAT!D$6</f>
        <v>0.43069073783359496</v>
      </c>
      <c r="L25" s="36">
        <f>E25/NOPLAT!E$6</f>
        <v>0.37784916628422827</v>
      </c>
      <c r="M25" s="36">
        <f>F25/NOPLAT!F$6</f>
        <v>0.59387162975019459</v>
      </c>
      <c r="N25" s="36">
        <f>G25/NOPLAT!G$6</f>
        <v>0.60546673543063434</v>
      </c>
      <c r="O25" s="74"/>
      <c r="P25" s="2"/>
      <c r="Q25" s="2"/>
      <c r="R25" s="2"/>
      <c r="S25" s="2"/>
      <c r="T25" s="2"/>
      <c r="U25" s="2"/>
      <c r="V25" s="2"/>
    </row>
    <row r="26" spans="1:22" ht="15.75" thickBot="1">
      <c r="A26" s="62" t="s">
        <v>183</v>
      </c>
      <c r="B26" s="40">
        <f t="shared" ref="B26:G26" si="4">B23+B25</f>
        <v>7674.84</v>
      </c>
      <c r="C26" s="41">
        <f t="shared" si="4"/>
        <v>8232.48</v>
      </c>
      <c r="D26" s="41">
        <f t="shared" si="4"/>
        <v>8231.7999999999993</v>
      </c>
      <c r="E26" s="41">
        <f t="shared" si="4"/>
        <v>7782.48</v>
      </c>
      <c r="F26" s="41">
        <f t="shared" si="4"/>
        <v>11589.619999999999</v>
      </c>
      <c r="G26" s="41">
        <f t="shared" si="4"/>
        <v>10725.46</v>
      </c>
      <c r="I26" s="42">
        <f>B26/NOPLAT!B$6</f>
        <v>0.72458836858006048</v>
      </c>
      <c r="J26" s="42">
        <f>C26/NOPLAT!C$6</f>
        <v>0.68752964756973434</v>
      </c>
      <c r="K26" s="42">
        <f>D26/NOPLAT!D$6</f>
        <v>0.64613814756671895</v>
      </c>
      <c r="L26" s="42">
        <f>E26/NOPLAT!E$6</f>
        <v>0.59526388251491502</v>
      </c>
      <c r="M26" s="42">
        <f>F26/NOPLAT!F$6</f>
        <v>0.82015568608024902</v>
      </c>
      <c r="N26" s="42">
        <f>G26/NOPLAT!G$6</f>
        <v>0.79020555514624613</v>
      </c>
      <c r="O26" s="74"/>
      <c r="P26" s="2"/>
      <c r="Q26" s="2"/>
      <c r="R26" s="2"/>
      <c r="S26" s="2"/>
      <c r="T26" s="2"/>
      <c r="U26" s="2"/>
      <c r="V26" s="2"/>
    </row>
    <row r="27" spans="1:22" ht="15.75" thickTop="1">
      <c r="A27" s="14"/>
      <c r="B27" s="14"/>
      <c r="C27" s="14"/>
      <c r="D27" s="14"/>
      <c r="E27" s="14"/>
      <c r="F27" s="14"/>
      <c r="G27" s="14"/>
      <c r="P27" s="2"/>
      <c r="Q27" s="2"/>
      <c r="R27" s="2"/>
      <c r="S27" s="2"/>
      <c r="T27" s="2"/>
      <c r="U27" s="2"/>
      <c r="V27" s="2"/>
    </row>
    <row r="28" spans="1:22">
      <c r="A28" s="14"/>
      <c r="B28" s="14"/>
      <c r="C28" s="14"/>
      <c r="D28" s="14"/>
      <c r="E28" s="14"/>
      <c r="F28" s="14"/>
      <c r="G28" s="14"/>
      <c r="P28" s="2"/>
      <c r="Q28" s="2"/>
      <c r="R28" s="2"/>
      <c r="S28" s="2"/>
      <c r="T28" s="2"/>
      <c r="U28" s="2"/>
      <c r="V28" s="2"/>
    </row>
    <row r="29" spans="1:22">
      <c r="A29" s="3" t="str">
        <f>company_name</f>
        <v>Henkel AG</v>
      </c>
      <c r="P29" s="2"/>
      <c r="Q29" s="2"/>
      <c r="R29" s="2"/>
      <c r="S29" s="2"/>
      <c r="T29" s="2"/>
      <c r="U29" s="2"/>
      <c r="V29" s="2"/>
    </row>
    <row r="30" spans="1:22">
      <c r="A30" s="2" t="s">
        <v>127</v>
      </c>
      <c r="P30" s="2"/>
      <c r="Q30" s="2"/>
      <c r="R30" s="2"/>
      <c r="S30" s="2"/>
      <c r="T30" s="2"/>
      <c r="U30" s="2"/>
      <c r="V30" s="2"/>
    </row>
    <row r="32" spans="1:22">
      <c r="A32" s="4" t="str">
        <f>A5</f>
        <v>EUR millions</v>
      </c>
      <c r="B32" s="4">
        <v>2004</v>
      </c>
      <c r="C32" s="4">
        <f>B32+1</f>
        <v>2005</v>
      </c>
      <c r="D32" s="4">
        <f>C32+1</f>
        <v>2006</v>
      </c>
      <c r="E32" s="4">
        <f>D32+1</f>
        <v>2007</v>
      </c>
      <c r="F32" s="4">
        <f>E32+1</f>
        <v>2008</v>
      </c>
      <c r="G32" s="4">
        <f>F32+1</f>
        <v>2009</v>
      </c>
      <c r="P32" s="2"/>
      <c r="Q32" s="2"/>
      <c r="R32" s="2"/>
      <c r="S32" s="2"/>
      <c r="T32" s="2"/>
      <c r="U32" s="2"/>
      <c r="V32" s="2"/>
    </row>
    <row r="33" spans="1:22">
      <c r="A33" s="14" t="s">
        <v>132</v>
      </c>
      <c r="B33" s="29">
        <f t="shared" ref="B33:G33" si="5">B26</f>
        <v>7674.84</v>
      </c>
      <c r="C33" s="10">
        <f t="shared" si="5"/>
        <v>8232.48</v>
      </c>
      <c r="D33" s="10">
        <f t="shared" si="5"/>
        <v>8231.7999999999993</v>
      </c>
      <c r="E33" s="10">
        <f t="shared" si="5"/>
        <v>7782.48</v>
      </c>
      <c r="F33" s="10">
        <f t="shared" si="5"/>
        <v>11589.619999999999</v>
      </c>
      <c r="G33" s="10">
        <f t="shared" si="5"/>
        <v>10725.46</v>
      </c>
      <c r="H33" s="14"/>
      <c r="P33" s="2"/>
      <c r="Q33" s="2"/>
      <c r="R33" s="2"/>
      <c r="S33" s="2"/>
      <c r="T33" s="2"/>
      <c r="U33" s="2"/>
      <c r="V33" s="2"/>
    </row>
    <row r="34" spans="1:22">
      <c r="A34" s="43" t="s">
        <v>51</v>
      </c>
      <c r="B34" s="34">
        <f>Financials!J6-B6</f>
        <v>1483.16</v>
      </c>
      <c r="C34" s="35">
        <f>Financials!K6-C6</f>
        <v>972.52</v>
      </c>
      <c r="D34" s="35">
        <f>Financials!L6-D6</f>
        <v>674.2</v>
      </c>
      <c r="E34" s="35">
        <f>Financials!M6-E6</f>
        <v>1178.52</v>
      </c>
      <c r="F34" s="35">
        <f>Financials!N6-F6</f>
        <v>55.379999999999995</v>
      </c>
      <c r="G34" s="35">
        <f>Financials!O6-G6</f>
        <v>838.54</v>
      </c>
      <c r="H34" s="14"/>
      <c r="P34" s="2"/>
      <c r="Q34" s="2"/>
      <c r="R34" s="2"/>
      <c r="S34" s="2"/>
      <c r="T34" s="2"/>
      <c r="U34" s="2"/>
      <c r="V34" s="2"/>
    </row>
    <row r="35" spans="1:22">
      <c r="A35" s="43" t="str">
        <f>Financials!I18</f>
        <v>Investments in associates</v>
      </c>
      <c r="B35" s="34">
        <f>Financials!J18</f>
        <v>463</v>
      </c>
      <c r="C35" s="35">
        <f>Financials!K18</f>
        <v>530</v>
      </c>
      <c r="D35" s="35">
        <f>Financials!L18</f>
        <v>496</v>
      </c>
      <c r="E35" s="35">
        <f>Financials!M18</f>
        <v>295</v>
      </c>
      <c r="F35" s="35">
        <f>Financials!N18</f>
        <v>1</v>
      </c>
      <c r="G35" s="35">
        <f>Financials!O18</f>
        <v>0</v>
      </c>
      <c r="H35" s="14"/>
      <c r="P35" s="2"/>
      <c r="Q35" s="2"/>
      <c r="R35" s="2"/>
      <c r="S35" s="2"/>
      <c r="T35" s="2"/>
      <c r="U35" s="2"/>
      <c r="V35" s="2"/>
    </row>
    <row r="36" spans="1:22">
      <c r="A36" s="43" t="str">
        <f>Financials!I19</f>
        <v>Other investments</v>
      </c>
      <c r="B36" s="34">
        <f>Financials!J19</f>
        <v>575</v>
      </c>
      <c r="C36" s="35">
        <f>Financials!K19</f>
        <v>151</v>
      </c>
      <c r="D36" s="35">
        <f>Financials!L19</f>
        <v>66</v>
      </c>
      <c r="E36" s="35">
        <f>Financials!M19</f>
        <v>33</v>
      </c>
      <c r="F36" s="35">
        <f>Financials!N19</f>
        <v>23</v>
      </c>
      <c r="G36" s="35">
        <f>Financials!O19</f>
        <v>0</v>
      </c>
      <c r="H36" s="14"/>
      <c r="P36" s="2"/>
      <c r="Q36" s="2"/>
      <c r="R36" s="2"/>
      <c r="S36" s="2"/>
      <c r="T36" s="2"/>
      <c r="U36" s="2"/>
      <c r="V36" s="2"/>
    </row>
    <row r="37" spans="1:22">
      <c r="A37" s="14" t="s">
        <v>54</v>
      </c>
      <c r="B37" s="29">
        <f>Financials!J10+Financials!J20-Financials!J30-Financials!J37</f>
        <v>1038</v>
      </c>
      <c r="C37" s="10">
        <f>Financials!K10+Financials!K20-Financials!K30-Financials!K37</f>
        <v>681</v>
      </c>
      <c r="D37" s="10">
        <f>Financials!L10+Financials!L20-Financials!L30-Financials!L37</f>
        <v>545</v>
      </c>
      <c r="E37" s="10">
        <f>Financials!M10+Financials!M20-Financials!M30-Financials!M37</f>
        <v>375</v>
      </c>
      <c r="F37" s="10">
        <f>Financials!N10+Financials!N20-Financials!N30-Financials!N37</f>
        <v>425</v>
      </c>
      <c r="G37" s="10">
        <f>Financials!O10+Financials!O20-Financials!O30-Financials!O37</f>
        <v>341</v>
      </c>
      <c r="H37" s="14"/>
      <c r="P37" s="2"/>
      <c r="Q37" s="2"/>
      <c r="R37" s="2"/>
      <c r="S37" s="2"/>
      <c r="T37" s="2"/>
      <c r="U37" s="2"/>
      <c r="V37" s="2"/>
    </row>
    <row r="38" spans="1:22">
      <c r="A38" s="43" t="str">
        <f>Financials!I21</f>
        <v>Deferred income taxes</v>
      </c>
      <c r="B38" s="34">
        <f>Financials!J21</f>
        <v>327</v>
      </c>
      <c r="C38" s="35">
        <f>Financials!K21</f>
        <v>456</v>
      </c>
      <c r="D38" s="35">
        <f>Financials!L21</f>
        <v>363</v>
      </c>
      <c r="E38" s="35">
        <f>Financials!M21</f>
        <v>249</v>
      </c>
      <c r="F38" s="35">
        <f>Financials!N21</f>
        <v>305</v>
      </c>
      <c r="G38" s="35">
        <f>Financials!O21</f>
        <v>322</v>
      </c>
      <c r="H38" s="14"/>
      <c r="P38" s="2"/>
      <c r="Q38" s="2"/>
      <c r="R38" s="2"/>
      <c r="S38" s="2"/>
      <c r="T38" s="2"/>
      <c r="U38" s="2"/>
      <c r="V38" s="2"/>
    </row>
    <row r="39" spans="1:22">
      <c r="A39" s="15" t="str">
        <f>Financials!I11</f>
        <v>Assets held for sale</v>
      </c>
      <c r="B39" s="37">
        <f>Financials!J11</f>
        <v>0</v>
      </c>
      <c r="C39" s="38">
        <f>Financials!K11</f>
        <v>142</v>
      </c>
      <c r="D39" s="38">
        <f>Financials!L11</f>
        <v>14</v>
      </c>
      <c r="E39" s="38">
        <f>Financials!M11</f>
        <v>125</v>
      </c>
      <c r="F39" s="38">
        <f>Financials!N11</f>
        <v>113</v>
      </c>
      <c r="G39" s="38">
        <f>Financials!O11</f>
        <v>30</v>
      </c>
      <c r="H39" s="14"/>
      <c r="P39" s="2"/>
      <c r="Q39" s="2"/>
      <c r="R39" s="2"/>
      <c r="S39" s="2"/>
      <c r="T39" s="2"/>
      <c r="U39" s="2"/>
      <c r="V39" s="2"/>
    </row>
    <row r="40" spans="1:22" ht="15.75" thickBot="1">
      <c r="A40" s="39" t="s">
        <v>52</v>
      </c>
      <c r="B40" s="40">
        <f t="shared" ref="B40:G40" si="6">SUM(B33:B39)</f>
        <v>11561</v>
      </c>
      <c r="C40" s="41">
        <f t="shared" si="6"/>
        <v>11165</v>
      </c>
      <c r="D40" s="41">
        <f t="shared" si="6"/>
        <v>10390</v>
      </c>
      <c r="E40" s="41">
        <f t="shared" si="6"/>
        <v>10038</v>
      </c>
      <c r="F40" s="41">
        <f t="shared" si="6"/>
        <v>12511.999999999998</v>
      </c>
      <c r="G40" s="41">
        <f t="shared" si="6"/>
        <v>12257</v>
      </c>
      <c r="H40" s="14"/>
      <c r="P40" s="2"/>
      <c r="Q40" s="2"/>
      <c r="R40" s="2"/>
      <c r="S40" s="2"/>
      <c r="T40" s="2"/>
      <c r="U40" s="2"/>
      <c r="V40" s="2"/>
    </row>
    <row r="41" spans="1:22" ht="15.75" thickTop="1">
      <c r="A41" s="14"/>
      <c r="B41" s="14"/>
      <c r="C41" s="10"/>
      <c r="D41" s="10"/>
      <c r="E41" s="10"/>
      <c r="F41" s="10"/>
      <c r="G41" s="10"/>
      <c r="H41" s="14"/>
      <c r="P41" s="2"/>
      <c r="Q41" s="2"/>
      <c r="R41" s="2"/>
      <c r="S41" s="2"/>
      <c r="T41" s="2"/>
      <c r="U41" s="2"/>
      <c r="V41" s="2"/>
    </row>
    <row r="42" spans="1:22">
      <c r="A42" s="14"/>
      <c r="B42" s="14"/>
      <c r="C42" s="10"/>
      <c r="D42" s="10"/>
      <c r="E42" s="10"/>
      <c r="F42" s="10"/>
      <c r="G42" s="10"/>
      <c r="H42" s="14"/>
      <c r="P42" s="2"/>
      <c r="Q42" s="2"/>
      <c r="R42" s="2"/>
      <c r="S42" s="2"/>
      <c r="T42" s="2"/>
      <c r="U42" s="2"/>
      <c r="V42" s="2"/>
    </row>
    <row r="43" spans="1:22">
      <c r="A43" s="25" t="str">
        <f>A5</f>
        <v>EUR millions</v>
      </c>
      <c r="B43" s="25">
        <v>2004</v>
      </c>
      <c r="C43" s="44">
        <f>B43+1</f>
        <v>2005</v>
      </c>
      <c r="D43" s="44">
        <f>C43+1</f>
        <v>2006</v>
      </c>
      <c r="E43" s="44">
        <f>D43+1</f>
        <v>2007</v>
      </c>
      <c r="F43" s="44">
        <f>E43+1</f>
        <v>2008</v>
      </c>
      <c r="G43" s="44">
        <f>F43+1</f>
        <v>2009</v>
      </c>
      <c r="H43" s="14"/>
      <c r="P43" s="2"/>
      <c r="Q43" s="2"/>
      <c r="R43" s="2"/>
      <c r="S43" s="2"/>
      <c r="T43" s="2"/>
      <c r="U43" s="2"/>
      <c r="V43" s="2"/>
    </row>
    <row r="44" spans="1:22">
      <c r="A44" s="14" t="str">
        <f>Financials!I27</f>
        <v>Short-term borrowings</v>
      </c>
      <c r="B44" s="29">
        <f>Financials!J27</f>
        <v>1789</v>
      </c>
      <c r="C44" s="10">
        <f>Financials!K27</f>
        <v>1405</v>
      </c>
      <c r="D44" s="10">
        <f>Financials!L27</f>
        <v>1012</v>
      </c>
      <c r="E44" s="10">
        <f>Financials!M27</f>
        <v>838</v>
      </c>
      <c r="F44" s="10">
        <f>Financials!N27</f>
        <v>1817</v>
      </c>
      <c r="G44" s="10">
        <f>Financials!O27</f>
        <v>660</v>
      </c>
      <c r="H44" s="14"/>
      <c r="P44" s="2"/>
      <c r="Q44" s="2"/>
      <c r="R44" s="2"/>
      <c r="S44" s="2"/>
      <c r="T44" s="2"/>
      <c r="U44" s="2"/>
      <c r="V44" s="2"/>
    </row>
    <row r="45" spans="1:22">
      <c r="A45" s="14" t="str">
        <f>Financials!I35</f>
        <v>Long-term borrowings</v>
      </c>
      <c r="B45" s="29">
        <f>Financials!J35</f>
        <v>1385</v>
      </c>
      <c r="C45" s="10">
        <f>Financials!K35</f>
        <v>2400</v>
      </c>
      <c r="D45" s="10">
        <f>Financials!L35</f>
        <v>2322</v>
      </c>
      <c r="E45" s="10">
        <f>Financials!M35</f>
        <v>2304</v>
      </c>
      <c r="F45" s="10">
        <f>Financials!N35</f>
        <v>2402</v>
      </c>
      <c r="G45" s="10">
        <f>Financials!O35</f>
        <v>3426</v>
      </c>
      <c r="H45" s="14"/>
      <c r="P45" s="2"/>
      <c r="Q45" s="2"/>
      <c r="R45" s="2"/>
      <c r="S45" s="2"/>
      <c r="T45" s="2"/>
      <c r="U45" s="2"/>
      <c r="V45" s="2"/>
    </row>
    <row r="46" spans="1:22">
      <c r="A46" s="14" t="str">
        <f>Financials!I36</f>
        <v>Pensions and similar obligations</v>
      </c>
      <c r="B46" s="29">
        <f>Financials!J36</f>
        <v>1815</v>
      </c>
      <c r="C46" s="10">
        <f>Financials!K36</f>
        <v>1061</v>
      </c>
      <c r="D46" s="10">
        <f>Financials!L36</f>
        <v>788</v>
      </c>
      <c r="E46" s="10">
        <f>Financials!M36</f>
        <v>657</v>
      </c>
      <c r="F46" s="10">
        <f>Financials!N36</f>
        <v>833</v>
      </c>
      <c r="G46" s="10">
        <f>Financials!O36</f>
        <v>867</v>
      </c>
      <c r="H46" s="14"/>
      <c r="P46" s="2"/>
      <c r="Q46" s="2"/>
      <c r="R46" s="2"/>
      <c r="S46" s="2"/>
      <c r="T46" s="2"/>
      <c r="U46" s="2"/>
      <c r="V46" s="2"/>
    </row>
    <row r="47" spans="1:22">
      <c r="A47" s="14" t="str">
        <f>Financials!I39</f>
        <v>Other long-term provisions</v>
      </c>
      <c r="B47" s="29">
        <f>Financials!J39</f>
        <v>1513</v>
      </c>
      <c r="C47" s="10">
        <f>Financials!K39</f>
        <v>0</v>
      </c>
      <c r="D47" s="10">
        <f>Financials!L39</f>
        <v>126</v>
      </c>
      <c r="E47" s="10">
        <f>Financials!M39</f>
        <v>119</v>
      </c>
      <c r="F47" s="10">
        <f>Financials!N39</f>
        <v>336</v>
      </c>
      <c r="G47" s="10">
        <f>Financials!O39</f>
        <v>241</v>
      </c>
      <c r="H47" s="14"/>
      <c r="P47" s="2"/>
      <c r="Q47" s="2"/>
      <c r="R47" s="2"/>
      <c r="S47" s="2"/>
      <c r="T47" s="2"/>
      <c r="U47" s="2"/>
      <c r="V47" s="2"/>
    </row>
    <row r="48" spans="1:22">
      <c r="A48" s="31" t="s">
        <v>67</v>
      </c>
      <c r="B48" s="32">
        <f t="shared" ref="B48:G48" si="7">SUM(B44:B47)</f>
        <v>6502</v>
      </c>
      <c r="C48" s="33">
        <f t="shared" si="7"/>
        <v>4866</v>
      </c>
      <c r="D48" s="33">
        <f t="shared" si="7"/>
        <v>4248</v>
      </c>
      <c r="E48" s="33">
        <f t="shared" si="7"/>
        <v>3918</v>
      </c>
      <c r="F48" s="33">
        <f t="shared" si="7"/>
        <v>5388</v>
      </c>
      <c r="G48" s="33">
        <f t="shared" si="7"/>
        <v>5194</v>
      </c>
      <c r="H48" s="14"/>
      <c r="P48" s="2"/>
      <c r="Q48" s="2"/>
      <c r="R48" s="2"/>
      <c r="S48" s="2"/>
      <c r="T48" s="2"/>
      <c r="U48" s="2"/>
      <c r="V48" s="2"/>
    </row>
    <row r="49" spans="1:22">
      <c r="A49" s="43"/>
      <c r="B49" s="34"/>
      <c r="C49" s="35"/>
      <c r="D49" s="35"/>
      <c r="E49" s="35"/>
      <c r="F49" s="35"/>
      <c r="G49" s="35"/>
      <c r="H49" s="14"/>
      <c r="P49" s="2"/>
      <c r="Q49" s="2"/>
      <c r="R49" s="2"/>
      <c r="S49" s="2"/>
      <c r="T49" s="2"/>
      <c r="U49" s="2"/>
      <c r="V49" s="2"/>
    </row>
    <row r="50" spans="1:22">
      <c r="A50" s="14" t="s">
        <v>39</v>
      </c>
      <c r="B50" s="29">
        <f>Financials!J38</f>
        <v>455</v>
      </c>
      <c r="C50" s="10">
        <f>Financials!K38</f>
        <v>900</v>
      </c>
      <c r="D50" s="10">
        <f>Financials!L38</f>
        <v>595</v>
      </c>
      <c r="E50" s="10">
        <f>Financials!M38</f>
        <v>414</v>
      </c>
      <c r="F50" s="10">
        <f>Financials!N38</f>
        <v>589</v>
      </c>
      <c r="G50" s="10">
        <f>Financials!O38</f>
        <v>519</v>
      </c>
      <c r="H50" s="14"/>
      <c r="P50" s="2"/>
      <c r="Q50" s="2"/>
      <c r="R50" s="2"/>
      <c r="S50" s="2"/>
      <c r="T50" s="2"/>
      <c r="U50" s="2"/>
      <c r="V50" s="2"/>
    </row>
    <row r="51" spans="1:22">
      <c r="A51" s="43" t="s">
        <v>69</v>
      </c>
      <c r="B51" s="29">
        <f>Financials!J43</f>
        <v>16</v>
      </c>
      <c r="C51" s="10">
        <f>Financials!K43</f>
        <v>28</v>
      </c>
      <c r="D51" s="10">
        <f>Financials!L43</f>
        <v>60</v>
      </c>
      <c r="E51" s="10">
        <f>Financials!M43</f>
        <v>63</v>
      </c>
      <c r="F51" s="10">
        <f>Financials!N43</f>
        <v>51</v>
      </c>
      <c r="G51" s="10">
        <f>Financials!O43</f>
        <v>70</v>
      </c>
      <c r="H51" s="14"/>
      <c r="P51" s="2"/>
      <c r="Q51" s="2"/>
      <c r="R51" s="2"/>
      <c r="S51" s="2"/>
      <c r="T51" s="2"/>
      <c r="U51" s="2"/>
      <c r="V51" s="2"/>
    </row>
    <row r="52" spans="1:22">
      <c r="A52" s="14" t="s">
        <v>68</v>
      </c>
      <c r="B52" s="29">
        <f>SUM(Financials!J45:J48)</f>
        <v>4588</v>
      </c>
      <c r="C52" s="10">
        <f>SUM(Financials!K45:K48)</f>
        <v>5371</v>
      </c>
      <c r="D52" s="10">
        <f>SUM(Financials!L45:L48)</f>
        <v>5487</v>
      </c>
      <c r="E52" s="10">
        <f>SUM(Financials!M45:M48)</f>
        <v>5643</v>
      </c>
      <c r="F52" s="10">
        <f>SUM(Financials!N45:N48)</f>
        <v>6484</v>
      </c>
      <c r="G52" s="10">
        <f>SUM(Financials!O45:O48)</f>
        <v>6474</v>
      </c>
      <c r="H52" s="14"/>
      <c r="P52" s="2"/>
      <c r="Q52" s="2"/>
      <c r="R52" s="2"/>
      <c r="S52" s="2"/>
      <c r="T52" s="2"/>
      <c r="U52" s="2"/>
      <c r="V52" s="2"/>
    </row>
    <row r="53" spans="1:22" ht="15.75" thickBot="1">
      <c r="A53" s="39" t="s">
        <v>52</v>
      </c>
      <c r="B53" s="40">
        <f t="shared" ref="B53:G53" si="8">SUM(B48:B52)</f>
        <v>11561</v>
      </c>
      <c r="C53" s="41">
        <f t="shared" si="8"/>
        <v>11165</v>
      </c>
      <c r="D53" s="41">
        <f t="shared" si="8"/>
        <v>10390</v>
      </c>
      <c r="E53" s="41">
        <f t="shared" si="8"/>
        <v>10038</v>
      </c>
      <c r="F53" s="41">
        <f t="shared" si="8"/>
        <v>12512</v>
      </c>
      <c r="G53" s="41">
        <f t="shared" si="8"/>
        <v>12257</v>
      </c>
      <c r="H53" s="14"/>
      <c r="P53" s="2"/>
      <c r="Q53" s="2"/>
      <c r="R53" s="2"/>
      <c r="S53" s="2"/>
      <c r="T53" s="2"/>
      <c r="U53" s="2"/>
      <c r="V53" s="2"/>
    </row>
    <row r="54" spans="1:22" ht="15.75" thickTop="1">
      <c r="P54" s="2"/>
      <c r="Q54" s="2"/>
      <c r="R54" s="2"/>
      <c r="S54" s="2"/>
      <c r="T54" s="2"/>
      <c r="U54" s="2"/>
      <c r="V54" s="2"/>
    </row>
  </sheetData>
  <mergeCells count="2">
    <mergeCell ref="O19:O26"/>
    <mergeCell ref="O6:O17"/>
  </mergeCells>
  <pageMargins left="0.7" right="0.7" top="0.75" bottom="0.75" header="0.3" footer="0.3"/>
  <pageSetup scale="70" orientation="landscape" r:id="rId1"/>
  <headerFooter>
    <oddHeader>&amp;C&amp;"Calibri,Bold"&amp;12Henkel AG
Invested Capital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U54"/>
  <sheetViews>
    <sheetView zoomScale="90" zoomScaleNormal="90" workbookViewId="0">
      <selection activeCell="A2" sqref="A2"/>
    </sheetView>
  </sheetViews>
  <sheetFormatPr defaultRowHeight="15" outlineLevelCol="1"/>
  <cols>
    <col min="1" max="1" width="39.140625" style="2" customWidth="1"/>
    <col min="2" max="2" width="9.140625" style="2" hidden="1" customWidth="1" outlineLevel="1"/>
    <col min="3" max="3" width="9.140625" style="2" collapsed="1"/>
    <col min="4" max="7" width="9.140625" style="2"/>
    <col min="8" max="8" width="14.7109375" style="2" customWidth="1"/>
    <col min="10" max="10" width="27.140625" customWidth="1"/>
    <col min="11" max="11" width="9.140625" hidden="1" customWidth="1" outlineLevel="1"/>
    <col min="12" max="12" width="9.140625" collapsed="1"/>
    <col min="22" max="16384" width="9.140625" style="2"/>
  </cols>
  <sheetData>
    <row r="2" spans="1:21">
      <c r="A2" s="3" t="str">
        <f>company_name</f>
        <v>Henkel AG</v>
      </c>
      <c r="I2" s="2"/>
      <c r="J2" s="3" t="str">
        <f>company_name</f>
        <v>Henkel AG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11" t="s">
        <v>155</v>
      </c>
      <c r="I3" s="2"/>
      <c r="J3" s="2" t="s">
        <v>130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>
      <c r="J4" s="2"/>
      <c r="K4" s="2"/>
      <c r="L4" s="2"/>
      <c r="M4" s="2"/>
      <c r="N4" s="2"/>
      <c r="O4" s="2"/>
      <c r="P4" s="2"/>
    </row>
    <row r="5" spans="1:21">
      <c r="A5" s="4" t="s">
        <v>41</v>
      </c>
      <c r="B5" s="4">
        <v>2004</v>
      </c>
      <c r="C5" s="4">
        <v>2005</v>
      </c>
      <c r="D5" s="4">
        <f>C5+1</f>
        <v>2006</v>
      </c>
      <c r="E5" s="4">
        <f>D5+1</f>
        <v>2007</v>
      </c>
      <c r="F5" s="4">
        <f>E5+1</f>
        <v>2008</v>
      </c>
      <c r="G5" s="4">
        <v>2009</v>
      </c>
      <c r="H5" s="68" t="s">
        <v>115</v>
      </c>
      <c r="I5" s="2"/>
      <c r="J5" s="4" t="str">
        <f>currency</f>
        <v>EUR millions</v>
      </c>
      <c r="K5" s="4">
        <v>2004</v>
      </c>
      <c r="L5" s="4">
        <v>2005</v>
      </c>
      <c r="M5" s="4">
        <f>L5+1</f>
        <v>2006</v>
      </c>
      <c r="N5" s="4">
        <f>M5+1</f>
        <v>2007</v>
      </c>
      <c r="O5" s="4">
        <f>N5+1</f>
        <v>2008</v>
      </c>
      <c r="P5" s="4">
        <v>2009</v>
      </c>
      <c r="Q5" s="2"/>
      <c r="R5" s="2"/>
      <c r="S5" s="2"/>
      <c r="T5" s="2"/>
      <c r="U5" s="2"/>
    </row>
    <row r="6" spans="1:21">
      <c r="A6" s="2" t="s">
        <v>105</v>
      </c>
      <c r="B6" s="5">
        <v>17</v>
      </c>
      <c r="C6" s="5">
        <v>9</v>
      </c>
      <c r="D6" s="5">
        <v>44</v>
      </c>
      <c r="E6" s="5">
        <v>14</v>
      </c>
      <c r="F6" s="5">
        <v>14</v>
      </c>
      <c r="G6" s="5">
        <v>10</v>
      </c>
      <c r="H6" s="47"/>
      <c r="I6" s="2"/>
      <c r="J6" s="11" t="s">
        <v>19</v>
      </c>
      <c r="K6" s="2"/>
      <c r="L6" s="2"/>
      <c r="M6" s="2"/>
      <c r="N6" s="2"/>
      <c r="O6" s="6">
        <v>373</v>
      </c>
      <c r="P6" s="6">
        <v>70</v>
      </c>
      <c r="Q6" s="2"/>
      <c r="R6" s="2"/>
      <c r="S6" s="2"/>
      <c r="T6" s="2"/>
      <c r="U6" s="2"/>
    </row>
    <row r="7" spans="1:21">
      <c r="A7" s="2" t="s">
        <v>106</v>
      </c>
      <c r="B7" s="5">
        <v>0</v>
      </c>
      <c r="C7" s="5">
        <v>0</v>
      </c>
      <c r="D7" s="5">
        <v>57</v>
      </c>
      <c r="E7" s="5">
        <v>0</v>
      </c>
      <c r="F7" s="5">
        <v>8</v>
      </c>
      <c r="G7" s="5">
        <v>0</v>
      </c>
      <c r="H7" s="47"/>
      <c r="I7" s="2"/>
      <c r="J7" s="2" t="s">
        <v>43</v>
      </c>
      <c r="K7" s="2"/>
      <c r="L7" s="2"/>
      <c r="M7" s="2"/>
      <c r="N7" s="2"/>
      <c r="O7" s="6">
        <v>111</v>
      </c>
      <c r="P7" s="6">
        <v>52</v>
      </c>
      <c r="Q7" s="2"/>
      <c r="R7" s="2"/>
      <c r="S7" s="2"/>
      <c r="T7" s="2"/>
      <c r="U7" s="2"/>
    </row>
    <row r="8" spans="1:21">
      <c r="A8" s="2" t="s">
        <v>107</v>
      </c>
      <c r="B8" s="5">
        <v>15</v>
      </c>
      <c r="C8" s="5">
        <v>31</v>
      </c>
      <c r="D8" s="5">
        <f>58+43</f>
        <v>101</v>
      </c>
      <c r="E8" s="5">
        <v>35</v>
      </c>
      <c r="F8" s="5">
        <v>44</v>
      </c>
      <c r="G8" s="5">
        <v>38</v>
      </c>
      <c r="H8" s="47" t="s">
        <v>124</v>
      </c>
      <c r="I8" s="2"/>
      <c r="J8" s="2" t="s">
        <v>85</v>
      </c>
      <c r="K8" s="2"/>
      <c r="L8" s="2"/>
      <c r="M8" s="2"/>
      <c r="N8" s="2"/>
      <c r="O8" s="6">
        <v>52</v>
      </c>
      <c r="P8" s="6">
        <v>13</v>
      </c>
      <c r="Q8" s="2"/>
      <c r="R8" s="2"/>
      <c r="S8" s="2"/>
      <c r="T8" s="2"/>
      <c r="U8" s="2"/>
    </row>
    <row r="9" spans="1:21">
      <c r="A9" s="2" t="s">
        <v>104</v>
      </c>
      <c r="B9" s="5">
        <v>3</v>
      </c>
      <c r="C9" s="5">
        <v>4</v>
      </c>
      <c r="D9" s="5">
        <v>4</v>
      </c>
      <c r="E9" s="5">
        <v>6</v>
      </c>
      <c r="F9" s="5">
        <v>6</v>
      </c>
      <c r="G9" s="5">
        <v>2</v>
      </c>
      <c r="H9" s="47" t="s">
        <v>124</v>
      </c>
      <c r="I9" s="2"/>
      <c r="J9" s="7" t="s">
        <v>29</v>
      </c>
      <c r="K9" s="7"/>
      <c r="L9" s="7"/>
      <c r="M9" s="7"/>
      <c r="N9" s="7"/>
      <c r="O9" s="13">
        <v>127</v>
      </c>
      <c r="P9" s="13">
        <v>24</v>
      </c>
      <c r="Q9" s="2"/>
      <c r="R9" s="2"/>
      <c r="S9" s="2"/>
      <c r="T9" s="2"/>
      <c r="U9" s="2"/>
    </row>
    <row r="10" spans="1:21" ht="15.75" thickBot="1">
      <c r="A10" s="2" t="s">
        <v>108</v>
      </c>
      <c r="B10" s="5">
        <v>3</v>
      </c>
      <c r="C10" s="5">
        <v>7</v>
      </c>
      <c r="D10" s="5">
        <v>1</v>
      </c>
      <c r="E10" s="5">
        <v>3</v>
      </c>
      <c r="F10" s="5">
        <v>0</v>
      </c>
      <c r="G10" s="5">
        <v>3</v>
      </c>
      <c r="H10" s="47"/>
      <c r="I10" s="2"/>
      <c r="J10" s="49" t="s">
        <v>130</v>
      </c>
      <c r="K10" s="16"/>
      <c r="L10" s="16"/>
      <c r="M10" s="16"/>
      <c r="N10" s="16"/>
      <c r="O10" s="17">
        <f>SUM(O6:O9)</f>
        <v>663</v>
      </c>
      <c r="P10" s="17">
        <f>SUM(P6:P9)</f>
        <v>159</v>
      </c>
      <c r="Q10" s="2"/>
      <c r="R10" s="2"/>
      <c r="S10" s="2"/>
      <c r="T10" s="2"/>
      <c r="U10" s="2"/>
    </row>
    <row r="11" spans="1:21" ht="15.75" thickTop="1">
      <c r="A11" s="2" t="s">
        <v>156</v>
      </c>
      <c r="B11" s="5">
        <v>22</v>
      </c>
      <c r="C11" s="5">
        <v>37</v>
      </c>
      <c r="D11" s="5">
        <v>32</v>
      </c>
      <c r="E11" s="5">
        <v>0</v>
      </c>
      <c r="F11" s="5">
        <v>0</v>
      </c>
      <c r="G11" s="5">
        <v>0</v>
      </c>
      <c r="H11" s="4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>
      <c r="A12" s="7" t="s">
        <v>109</v>
      </c>
      <c r="B12" s="8">
        <v>62</v>
      </c>
      <c r="C12" s="8">
        <v>95</v>
      </c>
      <c r="D12" s="8">
        <v>59</v>
      </c>
      <c r="E12" s="8">
        <v>51</v>
      </c>
      <c r="F12" s="8">
        <v>88</v>
      </c>
      <c r="G12" s="8">
        <v>87</v>
      </c>
      <c r="H12" s="47" t="s">
        <v>124</v>
      </c>
      <c r="I12" s="2"/>
      <c r="J12" s="67" t="s">
        <v>185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>
      <c r="A13" s="2" t="s">
        <v>198</v>
      </c>
      <c r="B13" s="9">
        <v>146</v>
      </c>
      <c r="C13" s="10">
        <f t="shared" ref="C13:F13" si="0">SUM(C6:C12)</f>
        <v>183</v>
      </c>
      <c r="D13" s="10">
        <f t="shared" si="0"/>
        <v>298</v>
      </c>
      <c r="E13" s="10">
        <f t="shared" si="0"/>
        <v>109</v>
      </c>
      <c r="F13" s="10">
        <f t="shared" si="0"/>
        <v>160</v>
      </c>
      <c r="G13" s="10">
        <f>SUM(G6:G12)</f>
        <v>140</v>
      </c>
      <c r="H13" s="4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>
      <c r="B14" s="9"/>
      <c r="C14" s="10"/>
      <c r="D14" s="10"/>
      <c r="E14" s="10"/>
      <c r="F14" s="10"/>
      <c r="G14" s="10"/>
      <c r="H14" s="47"/>
      <c r="I14" s="2"/>
      <c r="Q14" s="2"/>
      <c r="R14" s="2"/>
      <c r="S14" s="2"/>
      <c r="T14" s="2"/>
      <c r="U14" s="2"/>
    </row>
    <row r="15" spans="1:21">
      <c r="A15" s="2" t="s">
        <v>41</v>
      </c>
      <c r="B15" s="56">
        <f t="shared" ref="B15" si="1">SUMIF($H$6:$H$12, "=yes", B6:B12)</f>
        <v>80</v>
      </c>
      <c r="C15" s="56">
        <f t="shared" ref="C15:F15" si="2">SUMIF($H$6:$H$12, "=yes", C6:C12)</f>
        <v>130</v>
      </c>
      <c r="D15" s="56">
        <f t="shared" si="2"/>
        <v>164</v>
      </c>
      <c r="E15" s="56">
        <f t="shared" si="2"/>
        <v>92</v>
      </c>
      <c r="F15" s="56">
        <f t="shared" si="2"/>
        <v>138</v>
      </c>
      <c r="G15" s="56">
        <f t="shared" ref="G15" si="3">SUMIF($H$6:$H$12, "=yes", G6:G12)</f>
        <v>127</v>
      </c>
      <c r="H15" s="47"/>
      <c r="I15" s="2"/>
      <c r="J15" s="3" t="str">
        <f>company_name</f>
        <v>Henkel AG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7" t="s">
        <v>195</v>
      </c>
      <c r="B16" s="28">
        <f t="shared" ref="B16" si="4">B17-B15</f>
        <v>66</v>
      </c>
      <c r="C16" s="28">
        <f t="shared" ref="C16:F16" si="5">C17-C15</f>
        <v>53</v>
      </c>
      <c r="D16" s="28">
        <f t="shared" si="5"/>
        <v>134</v>
      </c>
      <c r="E16" s="28">
        <f t="shared" si="5"/>
        <v>17</v>
      </c>
      <c r="F16" s="28">
        <f t="shared" si="5"/>
        <v>22</v>
      </c>
      <c r="G16" s="28">
        <f t="shared" ref="G16" si="6">G17-G15</f>
        <v>13</v>
      </c>
      <c r="I16" s="2"/>
      <c r="J16" s="2" t="s">
        <v>215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" t="s">
        <v>198</v>
      </c>
      <c r="B17" s="9">
        <f t="shared" ref="B17" si="7">B13</f>
        <v>146</v>
      </c>
      <c r="C17" s="9">
        <f t="shared" ref="C17:F17" si="8">C13</f>
        <v>183</v>
      </c>
      <c r="D17" s="9">
        <f t="shared" si="8"/>
        <v>298</v>
      </c>
      <c r="E17" s="9">
        <f t="shared" si="8"/>
        <v>109</v>
      </c>
      <c r="F17" s="9">
        <f t="shared" si="8"/>
        <v>160</v>
      </c>
      <c r="G17" s="9">
        <f t="shared" ref="G17" si="9">G13</f>
        <v>140</v>
      </c>
      <c r="I17" s="2"/>
      <c r="Q17" s="2"/>
      <c r="R17" s="2"/>
      <c r="S17" s="2"/>
      <c r="T17" s="2"/>
      <c r="U17" s="2"/>
    </row>
    <row r="18" spans="1:21">
      <c r="I18" s="2"/>
      <c r="J18" s="4" t="str">
        <f>currency</f>
        <v>EUR millions</v>
      </c>
      <c r="K18" s="4">
        <v>2004</v>
      </c>
      <c r="L18" s="4">
        <v>2005</v>
      </c>
      <c r="M18" s="4">
        <f>L18+1</f>
        <v>2006</v>
      </c>
      <c r="N18" s="4">
        <f>M18+1</f>
        <v>2007</v>
      </c>
      <c r="O18" s="4">
        <f>N18+1</f>
        <v>2008</v>
      </c>
      <c r="P18" s="4">
        <v>2009</v>
      </c>
      <c r="Q18" s="2"/>
      <c r="R18" s="2"/>
      <c r="S18" s="2"/>
      <c r="T18" s="2"/>
      <c r="U18" s="2"/>
    </row>
    <row r="19" spans="1:21">
      <c r="I19" s="2"/>
      <c r="J19" s="2" t="s">
        <v>212</v>
      </c>
      <c r="K19" s="6">
        <v>252</v>
      </c>
      <c r="L19" s="6">
        <v>279</v>
      </c>
      <c r="M19" s="6">
        <v>282</v>
      </c>
      <c r="N19" s="6">
        <v>279</v>
      </c>
      <c r="O19" s="6">
        <v>298</v>
      </c>
      <c r="P19" s="6">
        <v>308</v>
      </c>
      <c r="Q19" s="2"/>
      <c r="R19" s="2"/>
      <c r="S19" s="2"/>
      <c r="T19" s="2"/>
      <c r="U19" s="2"/>
    </row>
    <row r="20" spans="1:21">
      <c r="A20" s="4" t="s">
        <v>99</v>
      </c>
      <c r="B20" s="4">
        <v>2004</v>
      </c>
      <c r="C20" s="4">
        <f>C5</f>
        <v>2005</v>
      </c>
      <c r="D20" s="4">
        <f t="shared" ref="D20:G20" si="10">D5</f>
        <v>2006</v>
      </c>
      <c r="E20" s="4">
        <f t="shared" si="10"/>
        <v>2007</v>
      </c>
      <c r="F20" s="4">
        <f t="shared" si="10"/>
        <v>2008</v>
      </c>
      <c r="G20" s="4">
        <f t="shared" si="10"/>
        <v>2009</v>
      </c>
      <c r="H20" s="68" t="s">
        <v>115</v>
      </c>
      <c r="I20" s="2"/>
      <c r="J20" s="2" t="s">
        <v>158</v>
      </c>
      <c r="K20" s="6">
        <v>268</v>
      </c>
      <c r="L20" s="6">
        <v>49</v>
      </c>
      <c r="M20" s="6">
        <v>53</v>
      </c>
      <c r="N20" s="6">
        <v>56</v>
      </c>
      <c r="O20" s="6">
        <v>95</v>
      </c>
      <c r="P20" s="6">
        <v>108</v>
      </c>
      <c r="Q20" s="2"/>
      <c r="R20" s="2"/>
      <c r="S20" s="2"/>
      <c r="T20" s="2"/>
      <c r="U20" s="2"/>
    </row>
    <row r="21" spans="1:21">
      <c r="A21" s="2" t="s">
        <v>100</v>
      </c>
      <c r="B21" s="6">
        <v>9</v>
      </c>
      <c r="C21" s="6">
        <v>6</v>
      </c>
      <c r="D21" s="6">
        <v>2</v>
      </c>
      <c r="E21" s="6">
        <v>5</v>
      </c>
      <c r="F21" s="6">
        <v>4</v>
      </c>
      <c r="G21" s="5">
        <v>0</v>
      </c>
      <c r="H21" s="47"/>
      <c r="I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2" t="s">
        <v>157</v>
      </c>
      <c r="B22" s="6">
        <v>30</v>
      </c>
      <c r="C22" s="6">
        <v>31</v>
      </c>
      <c r="D22" s="6">
        <v>35</v>
      </c>
      <c r="E22" s="6">
        <v>0</v>
      </c>
      <c r="F22" s="6">
        <v>0</v>
      </c>
      <c r="G22" s="5">
        <v>0</v>
      </c>
      <c r="H22" s="47"/>
      <c r="I22" s="2"/>
      <c r="J22" s="67" t="s">
        <v>171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2" t="s">
        <v>101</v>
      </c>
      <c r="B23" s="6">
        <v>3</v>
      </c>
      <c r="C23" s="6">
        <v>3</v>
      </c>
      <c r="D23" s="6">
        <v>7</v>
      </c>
      <c r="E23" s="6">
        <v>6</v>
      </c>
      <c r="F23" s="6">
        <v>17</v>
      </c>
      <c r="G23" s="5">
        <v>22</v>
      </c>
      <c r="H23" s="4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" t="s">
        <v>102</v>
      </c>
      <c r="B24" s="6">
        <f>200+22</f>
        <v>222</v>
      </c>
      <c r="C24" s="6">
        <v>24</v>
      </c>
      <c r="D24" s="6">
        <v>0</v>
      </c>
      <c r="E24" s="6">
        <v>9</v>
      </c>
      <c r="F24" s="6">
        <v>0</v>
      </c>
      <c r="G24" s="5">
        <v>46</v>
      </c>
      <c r="H24" s="4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7" t="s">
        <v>103</v>
      </c>
      <c r="B25" s="13">
        <v>61</v>
      </c>
      <c r="C25" s="13">
        <v>38</v>
      </c>
      <c r="D25" s="13">
        <v>46</v>
      </c>
      <c r="E25" s="13">
        <v>44</v>
      </c>
      <c r="F25" s="13">
        <v>54</v>
      </c>
      <c r="G25" s="8">
        <v>97</v>
      </c>
      <c r="H25" s="47" t="s">
        <v>124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" t="s">
        <v>197</v>
      </c>
      <c r="B26" s="10">
        <f t="shared" ref="B26:F26" si="11">SUM(B21:B25)</f>
        <v>325</v>
      </c>
      <c r="C26" s="10">
        <f t="shared" si="11"/>
        <v>102</v>
      </c>
      <c r="D26" s="10">
        <f t="shared" si="11"/>
        <v>90</v>
      </c>
      <c r="E26" s="10">
        <f t="shared" si="11"/>
        <v>64</v>
      </c>
      <c r="F26" s="10">
        <f t="shared" si="11"/>
        <v>75</v>
      </c>
      <c r="G26" s="10">
        <f>SUM(G21:G25)</f>
        <v>165</v>
      </c>
      <c r="H26" s="4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C27" s="14"/>
      <c r="D27" s="14"/>
      <c r="E27" s="14"/>
      <c r="F27" s="14"/>
      <c r="G27" s="1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" t="s">
        <v>99</v>
      </c>
      <c r="B28" s="56">
        <f t="shared" ref="B28" si="12">SUMIF($H$21:$H$25, "=yes",B21:B25)</f>
        <v>61</v>
      </c>
      <c r="C28" s="56">
        <f t="shared" ref="C28:F28" si="13">SUMIF($H$21:$H$25, "=yes",C21:C25)</f>
        <v>38</v>
      </c>
      <c r="D28" s="56">
        <f t="shared" si="13"/>
        <v>46</v>
      </c>
      <c r="E28" s="56">
        <f t="shared" si="13"/>
        <v>44</v>
      </c>
      <c r="F28" s="56">
        <f t="shared" si="13"/>
        <v>54</v>
      </c>
      <c r="G28" s="56">
        <f t="shared" ref="G28" si="14">SUMIF($H$21:$H$25, "=yes",G21:G25)</f>
        <v>97</v>
      </c>
      <c r="H28" s="7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7" t="s">
        <v>196</v>
      </c>
      <c r="B29" s="28">
        <f t="shared" ref="B29:F29" si="15">B30-B28</f>
        <v>264</v>
      </c>
      <c r="C29" s="28">
        <f t="shared" si="15"/>
        <v>64</v>
      </c>
      <c r="D29" s="28">
        <f t="shared" si="15"/>
        <v>44</v>
      </c>
      <c r="E29" s="28">
        <f t="shared" si="15"/>
        <v>20</v>
      </c>
      <c r="F29" s="28">
        <f t="shared" si="15"/>
        <v>21</v>
      </c>
      <c r="G29" s="28">
        <f>G30-G28</f>
        <v>68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" t="s">
        <v>197</v>
      </c>
      <c r="B30" s="9">
        <f t="shared" ref="B30" si="16">B26</f>
        <v>325</v>
      </c>
      <c r="C30" s="9">
        <f t="shared" ref="C30:F30" si="17">C26</f>
        <v>102</v>
      </c>
      <c r="D30" s="9">
        <f t="shared" si="17"/>
        <v>90</v>
      </c>
      <c r="E30" s="9">
        <f t="shared" si="17"/>
        <v>64</v>
      </c>
      <c r="F30" s="9">
        <f t="shared" si="17"/>
        <v>75</v>
      </c>
      <c r="G30" s="9">
        <f t="shared" ref="G30" si="18">G26</f>
        <v>165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" t="str">
        <f>company_name</f>
        <v>Henkel AG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11" t="s">
        <v>208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" t="str">
        <f>currency</f>
        <v>EUR millions</v>
      </c>
      <c r="B36" s="4">
        <f t="shared" ref="B36:G36" si="19">B5</f>
        <v>2004</v>
      </c>
      <c r="C36" s="4">
        <f t="shared" si="19"/>
        <v>2005</v>
      </c>
      <c r="D36" s="4">
        <f t="shared" si="19"/>
        <v>2006</v>
      </c>
      <c r="E36" s="4">
        <f t="shared" si="19"/>
        <v>2007</v>
      </c>
      <c r="F36" s="4">
        <f t="shared" si="19"/>
        <v>2008</v>
      </c>
      <c r="G36" s="4">
        <f t="shared" si="19"/>
        <v>2009</v>
      </c>
    </row>
    <row r="37" spans="1:21">
      <c r="A37" s="11" t="s">
        <v>155</v>
      </c>
      <c r="B37" s="56">
        <f t="shared" ref="B37" si="20">B15-B28</f>
        <v>19</v>
      </c>
      <c r="C37" s="56">
        <f t="shared" ref="C37:F37" si="21">C15-C28</f>
        <v>92</v>
      </c>
      <c r="D37" s="56">
        <f t="shared" si="21"/>
        <v>118</v>
      </c>
      <c r="E37" s="56">
        <f t="shared" si="21"/>
        <v>48</v>
      </c>
      <c r="F37" s="56">
        <f t="shared" si="21"/>
        <v>84</v>
      </c>
      <c r="G37" s="56">
        <f t="shared" ref="G37:G38" si="22">G15-G28</f>
        <v>30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11" t="s">
        <v>204</v>
      </c>
      <c r="B38" s="56">
        <f t="shared" ref="B38" si="23">B16-B29</f>
        <v>-198</v>
      </c>
      <c r="C38" s="56">
        <f t="shared" ref="C38:F38" si="24">C16-C29</f>
        <v>-11</v>
      </c>
      <c r="D38" s="56">
        <f t="shared" si="24"/>
        <v>90</v>
      </c>
      <c r="E38" s="56">
        <f t="shared" si="24"/>
        <v>-3</v>
      </c>
      <c r="F38" s="56">
        <f t="shared" si="24"/>
        <v>1</v>
      </c>
      <c r="G38" s="56">
        <f t="shared" si="22"/>
        <v>-55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G39" s="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67" t="s">
        <v>189</v>
      </c>
      <c r="B40"/>
      <c r="C40"/>
      <c r="D40"/>
      <c r="E40"/>
      <c r="F40"/>
      <c r="G4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/>
      <c r="B41"/>
      <c r="C41"/>
      <c r="D41"/>
      <c r="E41"/>
      <c r="F41"/>
      <c r="G4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>
      <c r="A42" s="3" t="s">
        <v>190</v>
      </c>
      <c r="B42"/>
      <c r="C42"/>
      <c r="D42"/>
      <c r="E42"/>
      <c r="F42"/>
      <c r="G4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>
      <c r="A43" s="67" t="s">
        <v>218</v>
      </c>
      <c r="B43"/>
      <c r="C43"/>
      <c r="D43"/>
      <c r="E43"/>
      <c r="F43"/>
      <c r="G4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>
      <c r="A44" s="67" t="s">
        <v>219</v>
      </c>
      <c r="B44"/>
      <c r="C44"/>
      <c r="D44"/>
      <c r="E44"/>
      <c r="F44"/>
      <c r="G44"/>
    </row>
    <row r="45" spans="1:21">
      <c r="B45"/>
      <c r="C45"/>
      <c r="D45"/>
      <c r="E45"/>
      <c r="F45"/>
      <c r="G4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>
      <c r="B46"/>
      <c r="C46"/>
      <c r="D46"/>
      <c r="E46"/>
      <c r="F46"/>
      <c r="G4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>
      <c r="A47"/>
      <c r="B47"/>
      <c r="C47"/>
      <c r="D47"/>
      <c r="E47"/>
      <c r="F47"/>
      <c r="G4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50" spans="9:21"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9:21"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3" spans="9:21"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9:21"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</sheetData>
  <pageMargins left="0.45" right="0.45" top="0.75" bottom="0.75" header="0.3" footer="0.3"/>
  <pageSetup scale="70" orientation="landscape" r:id="rId1"/>
  <headerFooter>
    <oddHeader>&amp;C&amp;"Calibri,Bold"&amp;12Henkel AG
Supplemental Financial Statements</oddHeader>
  </headerFooter>
  <ignoredErrors>
    <ignoredError sqref="G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/>
  <dimension ref="A2:P32"/>
  <sheetViews>
    <sheetView zoomScale="85" zoomScaleNormal="85" zoomScalePageLayoutView="85" workbookViewId="0">
      <selection activeCell="A2" sqref="A2"/>
    </sheetView>
  </sheetViews>
  <sheetFormatPr defaultColWidth="8.85546875" defaultRowHeight="15" outlineLevelCol="1"/>
  <cols>
    <col min="1" max="1" width="29.5703125" style="2" customWidth="1"/>
    <col min="2" max="2" width="9.140625" style="2" hidden="1" customWidth="1" outlineLevel="1"/>
    <col min="3" max="3" width="9.140625" style="2" customWidth="1" collapsed="1"/>
    <col min="4" max="7" width="9.140625" style="2" customWidth="1"/>
    <col min="8" max="9" width="8.85546875" style="2"/>
    <col min="10" max="10" width="33.42578125" style="2" customWidth="1"/>
    <col min="11" max="11" width="8.85546875" style="2" hidden="1" customWidth="1" outlineLevel="1"/>
    <col min="12" max="12" width="8.85546875" style="2" collapsed="1"/>
    <col min="13" max="16384" width="8.85546875" style="2"/>
  </cols>
  <sheetData>
    <row r="2" spans="1:16">
      <c r="A2" s="3" t="str">
        <f>company_name</f>
        <v>Henkel AG</v>
      </c>
      <c r="J2" s="3" t="str">
        <f>company_name</f>
        <v>Henkel AG</v>
      </c>
    </row>
    <row r="3" spans="1:16">
      <c r="A3" s="2" t="s">
        <v>5</v>
      </c>
      <c r="J3" s="2" t="s">
        <v>11</v>
      </c>
    </row>
    <row r="4" spans="1:16">
      <c r="A4" s="3"/>
    </row>
    <row r="5" spans="1:16">
      <c r="A5" s="4" t="s">
        <v>59</v>
      </c>
      <c r="B5" s="4">
        <v>2004</v>
      </c>
      <c r="C5" s="4">
        <f>B5+1</f>
        <v>2005</v>
      </c>
      <c r="D5" s="4">
        <f t="shared" ref="D5:E5" si="0">C5+1</f>
        <v>2006</v>
      </c>
      <c r="E5" s="4">
        <f t="shared" si="0"/>
        <v>2007</v>
      </c>
      <c r="F5" s="4">
        <f>E5+1</f>
        <v>2008</v>
      </c>
      <c r="G5" s="4">
        <f>F5+1</f>
        <v>2009</v>
      </c>
      <c r="J5" s="4" t="s">
        <v>17</v>
      </c>
      <c r="K5" s="4">
        <v>2004</v>
      </c>
      <c r="L5" s="4">
        <f t="shared" ref="L5:P5" si="1">K5+1</f>
        <v>2005</v>
      </c>
      <c r="M5" s="4">
        <f t="shared" si="1"/>
        <v>2006</v>
      </c>
      <c r="N5" s="4">
        <f t="shared" si="1"/>
        <v>2007</v>
      </c>
      <c r="O5" s="4">
        <f t="shared" si="1"/>
        <v>2008</v>
      </c>
      <c r="P5" s="4">
        <f t="shared" si="1"/>
        <v>2009</v>
      </c>
    </row>
    <row r="6" spans="1:16">
      <c r="A6" s="2" t="s">
        <v>73</v>
      </c>
      <c r="B6" s="20">
        <v>-7.0000000000000001E-3</v>
      </c>
      <c r="C6" s="20">
        <v>0.03</v>
      </c>
      <c r="D6" s="20">
        <v>4.5999999999999999E-2</v>
      </c>
      <c r="E6" s="20">
        <v>5.8000000000000003E-2</v>
      </c>
      <c r="F6" s="21">
        <v>0.03</v>
      </c>
      <c r="G6" s="21">
        <v>-3.5000000000000003E-2</v>
      </c>
      <c r="J6" s="2" t="s">
        <v>12</v>
      </c>
      <c r="K6" s="6">
        <v>33692</v>
      </c>
      <c r="L6" s="6">
        <v>33731</v>
      </c>
      <c r="M6" s="6">
        <v>33799</v>
      </c>
      <c r="N6" s="6">
        <v>34168</v>
      </c>
      <c r="O6" s="6">
        <v>33485</v>
      </c>
      <c r="P6" s="26">
        <v>30933</v>
      </c>
    </row>
    <row r="7" spans="1:16">
      <c r="A7" s="2" t="s">
        <v>74</v>
      </c>
      <c r="B7" s="20">
        <v>-3.6999999999999998E-2</v>
      </c>
      <c r="C7" s="20">
        <v>0.01</v>
      </c>
      <c r="D7" s="20">
        <v>-1E-3</v>
      </c>
      <c r="E7" s="20">
        <v>-2.7E-2</v>
      </c>
      <c r="F7" s="21">
        <v>-3.5000000000000003E-2</v>
      </c>
      <c r="G7" s="21">
        <v>-2.4E-2</v>
      </c>
      <c r="J7" s="2" t="s">
        <v>13</v>
      </c>
      <c r="K7" s="6">
        <v>6772</v>
      </c>
      <c r="L7" s="6">
        <v>7271</v>
      </c>
      <c r="M7" s="6">
        <v>6651</v>
      </c>
      <c r="N7" s="6">
        <v>6438</v>
      </c>
      <c r="O7" s="6">
        <v>7360</v>
      </c>
      <c r="P7" s="26">
        <v>5714</v>
      </c>
    </row>
    <row r="8" spans="1:16">
      <c r="A8" s="2" t="s">
        <v>75</v>
      </c>
      <c r="B8" s="22">
        <v>0.13100000000000001</v>
      </c>
      <c r="C8" s="22">
        <v>8.5000000000000006E-2</v>
      </c>
      <c r="D8" s="22">
        <v>5.0000000000000001E-3</v>
      </c>
      <c r="E8" s="22">
        <v>-5.0000000000000001E-3</v>
      </c>
      <c r="F8" s="23">
        <v>8.5999999999999993E-2</v>
      </c>
      <c r="G8" s="23">
        <v>0.02</v>
      </c>
      <c r="J8" s="2" t="s">
        <v>14</v>
      </c>
      <c r="K8" s="6">
        <v>4325</v>
      </c>
      <c r="L8" s="6">
        <v>4208</v>
      </c>
      <c r="M8" s="6">
        <v>4297</v>
      </c>
      <c r="N8" s="6">
        <v>4268</v>
      </c>
      <c r="O8" s="6">
        <v>4293</v>
      </c>
      <c r="P8" s="26">
        <v>4002</v>
      </c>
    </row>
    <row r="9" spans="1:16" ht="15.75" thickBot="1">
      <c r="A9" s="16" t="s">
        <v>76</v>
      </c>
      <c r="B9" s="24">
        <f>SUM(B6:B8)</f>
        <v>8.7000000000000008E-2</v>
      </c>
      <c r="C9" s="24">
        <f>SUM(C6:C8)</f>
        <v>0.125</v>
      </c>
      <c r="D9" s="24">
        <f>SUM(D6:D8)</f>
        <v>4.9999999999999996E-2</v>
      </c>
      <c r="E9" s="24">
        <f>SUM(E6:E8)</f>
        <v>2.6000000000000002E-2</v>
      </c>
      <c r="F9" s="24">
        <f t="shared" ref="F9:G9" si="2">SUM(F6:F8)</f>
        <v>8.0999999999999989E-2</v>
      </c>
      <c r="G9" s="24">
        <f t="shared" si="2"/>
        <v>-3.9000000000000007E-2</v>
      </c>
      <c r="J9" s="7" t="s">
        <v>15</v>
      </c>
      <c r="K9" s="13">
        <v>6411</v>
      </c>
      <c r="L9" s="13">
        <v>7355</v>
      </c>
      <c r="M9" s="13">
        <v>7545</v>
      </c>
      <c r="N9" s="13">
        <v>8235</v>
      </c>
      <c r="O9" s="13">
        <v>10004</v>
      </c>
      <c r="P9" s="27">
        <v>8613</v>
      </c>
    </row>
    <row r="10" spans="1:16" ht="15.75" thickTop="1">
      <c r="J10" s="2" t="s">
        <v>16</v>
      </c>
      <c r="K10" s="9">
        <f t="shared" ref="K10:P10" si="3">SUM(K6:K9)</f>
        <v>51200</v>
      </c>
      <c r="L10" s="9">
        <f t="shared" si="3"/>
        <v>52565</v>
      </c>
      <c r="M10" s="9">
        <f t="shared" si="3"/>
        <v>52292</v>
      </c>
      <c r="N10" s="9">
        <f t="shared" si="3"/>
        <v>53109</v>
      </c>
      <c r="O10" s="9">
        <f t="shared" si="3"/>
        <v>55142</v>
      </c>
      <c r="P10" s="9">
        <f t="shared" si="3"/>
        <v>49262</v>
      </c>
    </row>
    <row r="12" spans="1:16">
      <c r="A12" s="25" t="s">
        <v>6</v>
      </c>
      <c r="B12" s="25">
        <f>B5</f>
        <v>2004</v>
      </c>
      <c r="C12" s="25">
        <f t="shared" ref="C12:G12" si="4">C5</f>
        <v>2005</v>
      </c>
      <c r="D12" s="25">
        <f t="shared" si="4"/>
        <v>2006</v>
      </c>
      <c r="E12" s="25">
        <f t="shared" si="4"/>
        <v>2007</v>
      </c>
      <c r="F12" s="25">
        <f t="shared" si="4"/>
        <v>2008</v>
      </c>
      <c r="G12" s="25">
        <f t="shared" si="4"/>
        <v>2009</v>
      </c>
    </row>
    <row r="13" spans="1:16">
      <c r="A13" s="2" t="s">
        <v>73</v>
      </c>
      <c r="B13" s="20">
        <v>-7.0000000000000001E-3</v>
      </c>
      <c r="C13" s="20">
        <v>0.03</v>
      </c>
      <c r="D13" s="20">
        <v>4.5999999999999999E-2</v>
      </c>
      <c r="E13" s="20">
        <v>5.5E-2</v>
      </c>
      <c r="F13" s="21">
        <v>3.7999999999999999E-2</v>
      </c>
      <c r="G13" s="21">
        <v>2.9000000000000001E-2</v>
      </c>
      <c r="J13" s="25" t="s">
        <v>84</v>
      </c>
      <c r="K13" s="25">
        <f>K5</f>
        <v>2004</v>
      </c>
      <c r="L13" s="25">
        <f t="shared" ref="L13:P13" si="5">L5</f>
        <v>2005</v>
      </c>
      <c r="M13" s="25">
        <f t="shared" si="5"/>
        <v>2006</v>
      </c>
      <c r="N13" s="25">
        <f t="shared" si="5"/>
        <v>2007</v>
      </c>
      <c r="O13" s="25">
        <f t="shared" si="5"/>
        <v>2008</v>
      </c>
      <c r="P13" s="25">
        <f t="shared" si="5"/>
        <v>2009</v>
      </c>
    </row>
    <row r="14" spans="1:16">
      <c r="A14" s="2" t="s">
        <v>74</v>
      </c>
      <c r="B14" s="20">
        <v>-4.2000000000000003E-2</v>
      </c>
      <c r="C14" s="20">
        <v>8.0000000000000002E-3</v>
      </c>
      <c r="D14" s="20">
        <v>-3.0000000000000001E-3</v>
      </c>
      <c r="E14" s="20">
        <v>-2.3E-2</v>
      </c>
      <c r="F14" s="21">
        <v>-2.4E-2</v>
      </c>
      <c r="G14" s="21">
        <v>-3.9E-2</v>
      </c>
      <c r="J14" s="2" t="s">
        <v>80</v>
      </c>
      <c r="K14" s="9"/>
      <c r="L14" s="9"/>
      <c r="M14" s="9"/>
      <c r="N14" s="6">
        <f>0.47*N$10</f>
        <v>24961.23</v>
      </c>
      <c r="O14" s="6">
        <f>0.47*O$10</f>
        <v>25916.739999999998</v>
      </c>
      <c r="P14" s="26">
        <v>24138</v>
      </c>
    </row>
    <row r="15" spans="1:16">
      <c r="A15" s="2" t="s">
        <v>75</v>
      </c>
      <c r="B15" s="22">
        <v>0.22600000000000001</v>
      </c>
      <c r="C15" s="22">
        <v>9.1999999999999998E-2</v>
      </c>
      <c r="D15" s="22">
        <v>-3.9E-2</v>
      </c>
      <c r="E15" s="22">
        <v>-2.4E-2</v>
      </c>
      <c r="F15" s="23">
        <v>-8.0000000000000002E-3</v>
      </c>
      <c r="G15" s="23">
        <v>0</v>
      </c>
      <c r="J15" s="2" t="s">
        <v>81</v>
      </c>
      <c r="K15" s="9"/>
      <c r="L15" s="9"/>
      <c r="M15" s="9"/>
      <c r="N15" s="6">
        <f>0.05*N$10</f>
        <v>2655.4500000000003</v>
      </c>
      <c r="O15" s="6">
        <f>0.05*O$10</f>
        <v>2757.1000000000004</v>
      </c>
      <c r="P15" s="26">
        <v>2463</v>
      </c>
    </row>
    <row r="16" spans="1:16" ht="15.75" thickBot="1">
      <c r="A16" s="16" t="s">
        <v>76</v>
      </c>
      <c r="B16" s="24">
        <f>SUM(B13:B15)</f>
        <v>0.17699999999999999</v>
      </c>
      <c r="C16" s="24">
        <f>SUM(C13:C15)</f>
        <v>0.13</v>
      </c>
      <c r="D16" s="24">
        <f>SUM(D13:D15)</f>
        <v>3.9999999999999966E-3</v>
      </c>
      <c r="E16" s="24">
        <f>SUM(E13:E15)</f>
        <v>8.0000000000000002E-3</v>
      </c>
      <c r="F16" s="24">
        <f t="shared" ref="F16:G16" si="6">SUM(F13:F15)</f>
        <v>5.9999999999999984E-3</v>
      </c>
      <c r="G16" s="24">
        <f t="shared" si="6"/>
        <v>-9.9999999999999985E-3</v>
      </c>
      <c r="J16" s="2" t="s">
        <v>82</v>
      </c>
      <c r="K16" s="9"/>
      <c r="L16" s="9"/>
      <c r="M16" s="9"/>
      <c r="N16" s="6">
        <f>0.16*N$10</f>
        <v>8497.44</v>
      </c>
      <c r="O16" s="6">
        <f>0.17*O$10</f>
        <v>9374.1400000000012</v>
      </c>
      <c r="P16" s="26">
        <v>6897</v>
      </c>
    </row>
    <row r="17" spans="1:16" ht="15.75" thickTop="1">
      <c r="J17" s="7" t="s">
        <v>83</v>
      </c>
      <c r="K17" s="28"/>
      <c r="L17" s="28"/>
      <c r="M17" s="28"/>
      <c r="N17" s="13">
        <f>0.32*N$10</f>
        <v>16994.88</v>
      </c>
      <c r="O17" s="13">
        <f>0.31*O$10</f>
        <v>17094.02</v>
      </c>
      <c r="P17" s="27">
        <v>15764</v>
      </c>
    </row>
    <row r="18" spans="1:16">
      <c r="N18" s="9">
        <f>SUM(N14:N17)</f>
        <v>53109</v>
      </c>
      <c r="O18" s="9">
        <f>SUM(O14:O17)</f>
        <v>55142</v>
      </c>
      <c r="P18" s="9">
        <f>SUM(P14:P17)</f>
        <v>49262</v>
      </c>
    </row>
    <row r="19" spans="1:16">
      <c r="A19" s="25" t="s">
        <v>8</v>
      </c>
      <c r="B19" s="25">
        <f>B5</f>
        <v>2004</v>
      </c>
      <c r="C19" s="25">
        <f t="shared" ref="C19:G19" si="7">C5</f>
        <v>2005</v>
      </c>
      <c r="D19" s="25">
        <f t="shared" si="7"/>
        <v>2006</v>
      </c>
      <c r="E19" s="25">
        <f t="shared" si="7"/>
        <v>2007</v>
      </c>
      <c r="F19" s="25">
        <f t="shared" si="7"/>
        <v>2008</v>
      </c>
      <c r="G19" s="25">
        <f t="shared" si="7"/>
        <v>2009</v>
      </c>
    </row>
    <row r="20" spans="1:16">
      <c r="A20" s="2" t="s">
        <v>73</v>
      </c>
      <c r="B20" s="20">
        <v>1.7999999999999999E-2</v>
      </c>
      <c r="C20" s="20">
        <v>1.2999999999999999E-2</v>
      </c>
      <c r="D20" s="20">
        <v>4.1000000000000002E-2</v>
      </c>
      <c r="E20" s="20">
        <v>5.8999999999999997E-2</v>
      </c>
      <c r="F20" s="21">
        <v>4.7E-2</v>
      </c>
      <c r="G20" s="21">
        <v>3.5000000000000003E-2</v>
      </c>
    </row>
    <row r="21" spans="1:16">
      <c r="A21" s="2" t="s">
        <v>74</v>
      </c>
      <c r="B21" s="20">
        <v>-3.1E-2</v>
      </c>
      <c r="C21" s="20">
        <v>8.0000000000000002E-3</v>
      </c>
      <c r="D21" s="20">
        <v>-2E-3</v>
      </c>
      <c r="E21" s="20">
        <v>-2.4E-2</v>
      </c>
      <c r="F21" s="21">
        <v>-2.7E-2</v>
      </c>
      <c r="G21" s="21">
        <v>-2.7E-2</v>
      </c>
      <c r="J21" s="25" t="s">
        <v>55</v>
      </c>
      <c r="K21" s="25">
        <f>K5</f>
        <v>2004</v>
      </c>
      <c r="L21" s="25">
        <f t="shared" ref="L21:P21" si="8">L5</f>
        <v>2005</v>
      </c>
      <c r="M21" s="25">
        <f t="shared" si="8"/>
        <v>2006</v>
      </c>
      <c r="N21" s="25">
        <f t="shared" si="8"/>
        <v>2007</v>
      </c>
      <c r="O21" s="25">
        <f t="shared" si="8"/>
        <v>2008</v>
      </c>
      <c r="P21" s="25">
        <f t="shared" si="8"/>
        <v>2009</v>
      </c>
    </row>
    <row r="22" spans="1:16">
      <c r="A22" s="2" t="s">
        <v>75</v>
      </c>
      <c r="B22" s="22">
        <v>0.2</v>
      </c>
      <c r="C22" s="22">
        <v>4.1000000000000002E-2</v>
      </c>
      <c r="D22" s="22">
        <v>5.8000000000000003E-2</v>
      </c>
      <c r="E22" s="22">
        <v>3.0000000000000001E-3</v>
      </c>
      <c r="F22" s="23">
        <v>-5.0000000000000001E-3</v>
      </c>
      <c r="G22" s="23">
        <v>-0.01</v>
      </c>
      <c r="J22" s="2" t="s">
        <v>56</v>
      </c>
      <c r="N22" s="6">
        <f>0.44*N$10</f>
        <v>23367.96</v>
      </c>
      <c r="O22" s="6">
        <f>0.48*O$10</f>
        <v>26468.16</v>
      </c>
      <c r="P22" s="26">
        <v>24138</v>
      </c>
    </row>
    <row r="23" spans="1:16" ht="15.75" thickBot="1">
      <c r="A23" s="16" t="s">
        <v>76</v>
      </c>
      <c r="B23" s="24">
        <f>SUM(B20:B22)</f>
        <v>0.187</v>
      </c>
      <c r="C23" s="24">
        <f>SUM(C20:C22)</f>
        <v>6.2E-2</v>
      </c>
      <c r="D23" s="24">
        <f>SUM(D20:D22)</f>
        <v>9.7000000000000003E-2</v>
      </c>
      <c r="E23" s="24">
        <f>SUM(E20:E22)</f>
        <v>3.7999999999999999E-2</v>
      </c>
      <c r="F23" s="24">
        <f t="shared" ref="F23:G23" si="9">SUM(F20:F22)</f>
        <v>1.4999999999999999E-2</v>
      </c>
      <c r="G23" s="24">
        <f t="shared" si="9"/>
        <v>-1.9999999999999966E-3</v>
      </c>
      <c r="J23" s="2" t="s">
        <v>6</v>
      </c>
      <c r="N23" s="6">
        <f>0.26*N$10</f>
        <v>13808.34</v>
      </c>
      <c r="O23" s="6">
        <f>0.24*O$10</f>
        <v>13234.08</v>
      </c>
      <c r="P23" s="26">
        <v>11331</v>
      </c>
    </row>
    <row r="24" spans="1:16" ht="15.75" thickTop="1">
      <c r="J24" s="2" t="s">
        <v>57</v>
      </c>
      <c r="N24" s="6">
        <f>0.16*N$10</f>
        <v>8497.44</v>
      </c>
      <c r="O24" s="6">
        <f>0.15*O$10</f>
        <v>8271.2999999999993</v>
      </c>
      <c r="P24" s="26">
        <v>7389</v>
      </c>
    </row>
    <row r="25" spans="1:16">
      <c r="J25" s="7" t="s">
        <v>58</v>
      </c>
      <c r="K25" s="7"/>
      <c r="L25" s="7"/>
      <c r="M25" s="7"/>
      <c r="N25" s="13">
        <f>0.14*N$10</f>
        <v>7435.2600000000011</v>
      </c>
      <c r="O25" s="13">
        <f>0.13*O$10</f>
        <v>7168.46</v>
      </c>
      <c r="P25" s="27">
        <v>6404</v>
      </c>
    </row>
    <row r="26" spans="1:16">
      <c r="A26" s="25" t="s">
        <v>7</v>
      </c>
      <c r="B26" s="25">
        <f>B5</f>
        <v>2004</v>
      </c>
      <c r="C26" s="25">
        <f t="shared" ref="C26:G26" si="10">C5</f>
        <v>2005</v>
      </c>
      <c r="D26" s="25">
        <f t="shared" si="10"/>
        <v>2006</v>
      </c>
      <c r="E26" s="25">
        <f t="shared" si="10"/>
        <v>2007</v>
      </c>
      <c r="F26" s="25">
        <f t="shared" si="10"/>
        <v>2008</v>
      </c>
      <c r="G26" s="25">
        <f t="shared" si="10"/>
        <v>2009</v>
      </c>
      <c r="N26" s="9">
        <f>SUM(N22:N25)</f>
        <v>53109.000000000007</v>
      </c>
      <c r="O26" s="9">
        <f>SUM(O22:O25)</f>
        <v>55141.999999999993</v>
      </c>
      <c r="P26" s="9">
        <f>SUM(P22:P25)</f>
        <v>49262</v>
      </c>
    </row>
    <row r="27" spans="1:16">
      <c r="A27" s="2" t="s">
        <v>73</v>
      </c>
      <c r="B27" s="20">
        <v>0</v>
      </c>
      <c r="C27" s="20">
        <v>5.3999999999999999E-2</v>
      </c>
      <c r="D27" s="20">
        <v>8.5000000000000006E-2</v>
      </c>
      <c r="E27" s="20">
        <v>6.5000000000000002E-2</v>
      </c>
      <c r="F27" s="21">
        <v>1.2999999999999999E-2</v>
      </c>
      <c r="G27" s="21">
        <v>-0.10199999999999999</v>
      </c>
      <c r="J27" s="67" t="s">
        <v>191</v>
      </c>
      <c r="O27" s="9"/>
    </row>
    <row r="28" spans="1:16">
      <c r="A28" s="2" t="s">
        <v>74</v>
      </c>
      <c r="B28" s="20">
        <f>(-3.7%*(1446/(1446+2971)))+(-4.1%*(2971/(1446+2971)))</f>
        <v>-3.9690513923477472E-2</v>
      </c>
      <c r="C28" s="20">
        <f>(1.9%*(1742/(1742+3266)))+(1.3%*(3266/(1742+3266)))</f>
        <v>1.50870607028754E-2</v>
      </c>
      <c r="D28" s="20">
        <f>(0.1%*(1940/(1940+3488)))+(0%*(3488/(1940+3488)))</f>
        <v>3.5740604274134117E-4</v>
      </c>
      <c r="E28" s="20">
        <v>-3.3000000000000002E-2</v>
      </c>
      <c r="F28" s="21">
        <v>-4.8000000000000001E-2</v>
      </c>
      <c r="G28" s="21">
        <v>-1.4E-2</v>
      </c>
    </row>
    <row r="29" spans="1:16">
      <c r="A29" s="2" t="s">
        <v>75</v>
      </c>
      <c r="B29" s="20">
        <f>(8.4%*(1446/(1446+2971)))+(1.1%*(2971/(1446+2971)))</f>
        <v>3.4898120896536114E-2</v>
      </c>
      <c r="C29" s="20">
        <f>(13.6%*(1742/(1742+3266)))+(10.2%*(3266/(1742+3266)))</f>
        <v>0.11382667731629392</v>
      </c>
      <c r="D29" s="20">
        <f>(4.4%*(1940/(1940+3488)))+(-0.4%*(3488/(1940+3488)))</f>
        <v>1.3155490051584378E-2</v>
      </c>
      <c r="E29" s="22">
        <v>4.0000000000000001E-3</v>
      </c>
      <c r="F29" s="23">
        <v>0.20799999999999999</v>
      </c>
      <c r="G29" s="23">
        <v>4.4999999999999998E-2</v>
      </c>
    </row>
    <row r="30" spans="1:16" ht="15.75" thickBot="1">
      <c r="A30" s="16" t="s">
        <v>76</v>
      </c>
      <c r="B30" s="24">
        <f>SUM(B27:B29)</f>
        <v>-4.7923930269413578E-3</v>
      </c>
      <c r="C30" s="24">
        <f>SUM(C27:C29)</f>
        <v>0.18291373801916933</v>
      </c>
      <c r="D30" s="24">
        <f>SUM(D27:D29)</f>
        <v>9.851289609432573E-2</v>
      </c>
      <c r="E30" s="24">
        <f>SUM(E27:E29)</f>
        <v>3.6000000000000004E-2</v>
      </c>
      <c r="F30" s="24">
        <f t="shared" ref="F30:G30" si="11">SUM(F27:F29)</f>
        <v>0.17299999999999999</v>
      </c>
      <c r="G30" s="24">
        <f t="shared" si="11"/>
        <v>-7.0999999999999994E-2</v>
      </c>
    </row>
    <row r="31" spans="1:16" ht="15.75" thickTop="1"/>
    <row r="32" spans="1:16">
      <c r="A32" s="67" t="s">
        <v>60</v>
      </c>
    </row>
  </sheetData>
  <phoneticPr fontId="4" type="noConversion"/>
  <pageMargins left="0.7" right="0.7" top="0.75" bottom="0.75" header="0.3" footer="0.3"/>
  <pageSetup scale="70" orientation="landscape" r:id="rId1"/>
  <headerFooter>
    <oddHeader>&amp;C&amp;"Calibri,Bold"&amp;12Henkel AG
Supplemental Financial Data</oddHeader>
  </headerFooter>
  <ignoredErrors>
    <ignoredError sqref="K10" formulaRang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2:U44"/>
  <sheetViews>
    <sheetView zoomScale="85" zoomScaleNormal="85" workbookViewId="0">
      <selection activeCell="A2" sqref="A2"/>
    </sheetView>
  </sheetViews>
  <sheetFormatPr defaultRowHeight="15" outlineLevelCol="1"/>
  <cols>
    <col min="1" max="1" width="26" style="2" customWidth="1"/>
    <col min="2" max="2" width="9" style="2" hidden="1" customWidth="1" outlineLevel="1"/>
    <col min="3" max="3" width="9.140625" style="2" collapsed="1"/>
    <col min="4" max="8" width="9.140625" style="2"/>
    <col min="9" max="9" width="24.140625" style="2" customWidth="1"/>
    <col min="10" max="10" width="9" style="2" hidden="1" customWidth="1" outlineLevel="1"/>
    <col min="11" max="11" width="9.140625" style="2" collapsed="1"/>
    <col min="12" max="16384" width="9.140625" style="2"/>
  </cols>
  <sheetData>
    <row r="2" spans="1:21">
      <c r="A2" s="3" t="str">
        <f>company_name</f>
        <v>Henkel AG</v>
      </c>
      <c r="B2" s="3"/>
    </row>
    <row r="3" spans="1:21">
      <c r="A3" s="2" t="s">
        <v>170</v>
      </c>
    </row>
    <row r="4" spans="1:21">
      <c r="A4" s="3"/>
      <c r="B4" s="3"/>
    </row>
    <row r="5" spans="1:21" ht="17.25">
      <c r="A5" s="3" t="s">
        <v>174</v>
      </c>
      <c r="B5" s="3"/>
      <c r="I5" s="3" t="s">
        <v>173</v>
      </c>
      <c r="J5" s="3"/>
      <c r="Q5"/>
      <c r="R5"/>
      <c r="S5"/>
      <c r="T5"/>
      <c r="U5"/>
    </row>
    <row r="6" spans="1:21">
      <c r="Q6"/>
      <c r="R6"/>
      <c r="S6"/>
      <c r="T6"/>
      <c r="U6"/>
    </row>
    <row r="7" spans="1:21">
      <c r="A7" s="63" t="s">
        <v>47</v>
      </c>
      <c r="B7" s="64">
        <v>2004</v>
      </c>
      <c r="C7" s="64">
        <f>B7+1</f>
        <v>2005</v>
      </c>
      <c r="D7" s="64">
        <f>C7+1</f>
        <v>2006</v>
      </c>
      <c r="E7" s="64">
        <f>D7+1</f>
        <v>2007</v>
      </c>
      <c r="F7" s="64">
        <f>E7+1</f>
        <v>2008</v>
      </c>
      <c r="G7" s="64">
        <f>F7+1</f>
        <v>2009</v>
      </c>
      <c r="I7" s="63" t="s">
        <v>47</v>
      </c>
      <c r="J7" s="64">
        <v>2004</v>
      </c>
      <c r="K7" s="64">
        <f>J7+1</f>
        <v>2005</v>
      </c>
      <c r="L7" s="64">
        <f>K7+1</f>
        <v>2006</v>
      </c>
      <c r="M7" s="64">
        <f>L7+1</f>
        <v>2007</v>
      </c>
      <c r="N7" s="64">
        <f>M7+1</f>
        <v>2008</v>
      </c>
      <c r="O7" s="64">
        <f>N7+1</f>
        <v>2009</v>
      </c>
      <c r="Q7"/>
      <c r="R7"/>
      <c r="S7"/>
      <c r="T7"/>
      <c r="U7"/>
    </row>
    <row r="8" spans="1:21">
      <c r="A8" s="2" t="s">
        <v>6</v>
      </c>
      <c r="B8" s="6"/>
      <c r="C8" s="6">
        <v>4088</v>
      </c>
      <c r="D8" s="6">
        <v>4117</v>
      </c>
      <c r="E8" s="6">
        <v>4148</v>
      </c>
      <c r="F8" s="6">
        <v>4172</v>
      </c>
      <c r="G8" s="6">
        <v>4129</v>
      </c>
      <c r="I8" s="2" t="s">
        <v>6</v>
      </c>
      <c r="J8" s="9">
        <f t="shared" ref="J8:K11" si="0">J38-J28</f>
        <v>0</v>
      </c>
      <c r="K8" s="9">
        <f t="shared" si="0"/>
        <v>1496</v>
      </c>
      <c r="L8" s="9">
        <f t="shared" ref="L8:O11" si="1">L38-L28</f>
        <v>1423</v>
      </c>
      <c r="M8" s="9">
        <f t="shared" si="1"/>
        <v>1402</v>
      </c>
      <c r="N8" s="9">
        <f t="shared" si="1"/>
        <v>1211</v>
      </c>
      <c r="O8" s="9">
        <f t="shared" si="1"/>
        <v>1198</v>
      </c>
      <c r="Q8"/>
      <c r="R8"/>
      <c r="S8"/>
      <c r="T8"/>
      <c r="U8"/>
    </row>
    <row r="9" spans="1:21">
      <c r="A9" s="2" t="s">
        <v>57</v>
      </c>
      <c r="B9" s="6"/>
      <c r="C9" s="6">
        <v>2629</v>
      </c>
      <c r="D9" s="6">
        <v>2864</v>
      </c>
      <c r="E9" s="6">
        <v>2972</v>
      </c>
      <c r="F9" s="6">
        <v>3016</v>
      </c>
      <c r="G9" s="6">
        <v>3010</v>
      </c>
      <c r="I9" s="2" t="s">
        <v>57</v>
      </c>
      <c r="J9" s="9">
        <f t="shared" si="0"/>
        <v>0</v>
      </c>
      <c r="K9" s="9">
        <f t="shared" si="0"/>
        <v>1126</v>
      </c>
      <c r="L9" s="9">
        <f t="shared" si="1"/>
        <v>1226</v>
      </c>
      <c r="M9" s="9">
        <f t="shared" si="1"/>
        <v>1234</v>
      </c>
      <c r="N9" s="9">
        <f t="shared" si="1"/>
        <v>1097</v>
      </c>
      <c r="O9" s="9">
        <f t="shared" si="1"/>
        <v>1094</v>
      </c>
      <c r="Q9"/>
      <c r="R9"/>
      <c r="S9"/>
      <c r="T9"/>
      <c r="U9"/>
    </row>
    <row r="10" spans="1:21">
      <c r="A10" s="2" t="s">
        <v>216</v>
      </c>
      <c r="B10" s="6"/>
      <c r="C10" s="6">
        <v>5008</v>
      </c>
      <c r="D10" s="6">
        <v>5510</v>
      </c>
      <c r="E10" s="6">
        <v>5711</v>
      </c>
      <c r="F10" s="6">
        <v>6700</v>
      </c>
      <c r="G10" s="6">
        <v>6224</v>
      </c>
      <c r="I10" s="2" t="s">
        <v>216</v>
      </c>
      <c r="J10" s="9">
        <f t="shared" si="0"/>
        <v>0</v>
      </c>
      <c r="K10" s="9">
        <f t="shared" si="0"/>
        <v>2717</v>
      </c>
      <c r="L10" s="9">
        <f t="shared" si="1"/>
        <v>2500</v>
      </c>
      <c r="M10" s="9">
        <f t="shared" si="1"/>
        <v>2640</v>
      </c>
      <c r="N10" s="9">
        <f t="shared" si="1"/>
        <v>4930</v>
      </c>
      <c r="O10" s="9">
        <f t="shared" si="1"/>
        <v>3283</v>
      </c>
      <c r="Q10"/>
      <c r="R10"/>
      <c r="S10"/>
      <c r="T10"/>
      <c r="U10"/>
    </row>
    <row r="11" spans="1:21">
      <c r="A11" s="2" t="s">
        <v>95</v>
      </c>
      <c r="B11" s="6"/>
      <c r="C11" s="6">
        <v>249</v>
      </c>
      <c r="D11" s="6">
        <v>249</v>
      </c>
      <c r="E11" s="6">
        <v>0</v>
      </c>
      <c r="F11" s="6">
        <v>243</v>
      </c>
      <c r="G11" s="6">
        <v>210</v>
      </c>
      <c r="I11" s="2" t="s">
        <v>95</v>
      </c>
      <c r="J11" s="9">
        <f t="shared" si="0"/>
        <v>0</v>
      </c>
      <c r="K11" s="9">
        <f t="shared" si="0"/>
        <v>-167</v>
      </c>
      <c r="L11" s="9">
        <f t="shared" si="1"/>
        <v>24</v>
      </c>
      <c r="M11" s="9">
        <f t="shared" si="1"/>
        <v>76</v>
      </c>
      <c r="N11" s="9">
        <f t="shared" si="1"/>
        <v>-24</v>
      </c>
      <c r="O11" s="9">
        <f t="shared" si="1"/>
        <v>-181</v>
      </c>
      <c r="Q11"/>
      <c r="R11"/>
      <c r="S11"/>
      <c r="T11"/>
      <c r="U11"/>
    </row>
    <row r="12" spans="1:21" ht="15.75" thickBot="1">
      <c r="A12" s="16" t="s">
        <v>16</v>
      </c>
      <c r="B12" s="17"/>
      <c r="C12" s="17">
        <f>SUM(C8:C11)</f>
        <v>11974</v>
      </c>
      <c r="D12" s="17">
        <f t="shared" ref="D12:G12" si="2">SUM(D8:D11)</f>
        <v>12740</v>
      </c>
      <c r="E12" s="17">
        <f t="shared" si="2"/>
        <v>12831</v>
      </c>
      <c r="F12" s="17">
        <f t="shared" si="2"/>
        <v>14131</v>
      </c>
      <c r="G12" s="17">
        <f t="shared" si="2"/>
        <v>13573</v>
      </c>
      <c r="I12" s="16" t="s">
        <v>16</v>
      </c>
      <c r="J12" s="17">
        <f>SUM(J8:J11)</f>
        <v>0</v>
      </c>
      <c r="K12" s="17">
        <f>SUM(K8:K11)</f>
        <v>5172</v>
      </c>
      <c r="L12" s="17">
        <f t="shared" ref="L12" si="3">SUM(L8:L11)</f>
        <v>5173</v>
      </c>
      <c r="M12" s="17">
        <f t="shared" ref="M12" si="4">SUM(M8:M11)</f>
        <v>5352</v>
      </c>
      <c r="N12" s="17">
        <f t="shared" ref="N12" si="5">SUM(N8:N11)</f>
        <v>7214</v>
      </c>
      <c r="O12" s="17">
        <f t="shared" ref="O12" si="6">SUM(O8:O11)</f>
        <v>5394</v>
      </c>
      <c r="Q12"/>
      <c r="R12"/>
      <c r="S12"/>
      <c r="T12"/>
      <c r="U12"/>
    </row>
    <row r="13" spans="1:21" ht="15.75" thickTop="1"/>
    <row r="14" spans="1:21">
      <c r="B14" s="9"/>
      <c r="C14" s="9"/>
      <c r="D14" s="9"/>
      <c r="E14" s="9"/>
      <c r="F14" s="9"/>
      <c r="G14" s="9"/>
      <c r="J14" s="9"/>
      <c r="K14" s="9"/>
      <c r="L14" s="9"/>
      <c r="M14" s="9"/>
      <c r="N14" s="9"/>
      <c r="O14" s="9"/>
      <c r="Q14" s="9"/>
      <c r="R14" s="9"/>
      <c r="S14" s="9"/>
      <c r="T14" s="9"/>
      <c r="U14" s="9"/>
    </row>
    <row r="15" spans="1:21" ht="17.25">
      <c r="A15" s="3" t="s">
        <v>175</v>
      </c>
      <c r="I15" s="3" t="s">
        <v>177</v>
      </c>
    </row>
    <row r="17" spans="1:15">
      <c r="A17" s="59" t="s">
        <v>47</v>
      </c>
      <c r="B17" s="60">
        <f>B7</f>
        <v>2004</v>
      </c>
      <c r="C17" s="60">
        <f t="shared" ref="C17:G17" si="7">C7</f>
        <v>2005</v>
      </c>
      <c r="D17" s="60">
        <f t="shared" si="7"/>
        <v>2006</v>
      </c>
      <c r="E17" s="60">
        <f t="shared" si="7"/>
        <v>2007</v>
      </c>
      <c r="F17" s="60">
        <f t="shared" si="7"/>
        <v>2008</v>
      </c>
      <c r="G17" s="60">
        <f t="shared" si="7"/>
        <v>2009</v>
      </c>
      <c r="I17" s="59" t="s">
        <v>47</v>
      </c>
      <c r="J17" s="60">
        <f>J7</f>
        <v>2004</v>
      </c>
      <c r="K17" s="60">
        <f t="shared" ref="K17:O17" si="8">K7</f>
        <v>2005</v>
      </c>
      <c r="L17" s="60">
        <f t="shared" si="8"/>
        <v>2006</v>
      </c>
      <c r="M17" s="60">
        <f t="shared" si="8"/>
        <v>2007</v>
      </c>
      <c r="N17" s="60">
        <f t="shared" si="8"/>
        <v>2008</v>
      </c>
      <c r="O17" s="60">
        <f t="shared" si="8"/>
        <v>2009</v>
      </c>
    </row>
    <row r="18" spans="1:15">
      <c r="A18" s="2" t="s">
        <v>6</v>
      </c>
      <c r="B18" s="6"/>
      <c r="C18" s="6">
        <v>433</v>
      </c>
      <c r="D18" s="6">
        <v>449</v>
      </c>
      <c r="E18" s="6">
        <v>459</v>
      </c>
      <c r="F18" s="6">
        <v>439</v>
      </c>
      <c r="G18" s="6">
        <v>501</v>
      </c>
      <c r="I18" s="2" t="s">
        <v>6</v>
      </c>
      <c r="J18" s="6"/>
      <c r="K18" s="6">
        <v>684</v>
      </c>
      <c r="L18" s="6">
        <v>589</v>
      </c>
      <c r="M18" s="6">
        <v>548</v>
      </c>
      <c r="N18" s="6">
        <v>578</v>
      </c>
      <c r="O18" s="6">
        <f>560</f>
        <v>560</v>
      </c>
    </row>
    <row r="19" spans="1:15">
      <c r="A19" s="2" t="s">
        <v>57</v>
      </c>
      <c r="B19" s="6"/>
      <c r="C19" s="6">
        <v>321</v>
      </c>
      <c r="D19" s="6">
        <v>359</v>
      </c>
      <c r="E19" s="6">
        <v>372</v>
      </c>
      <c r="F19" s="6">
        <v>376</v>
      </c>
      <c r="G19" s="6">
        <v>387</v>
      </c>
      <c r="I19" s="2" t="s">
        <v>57</v>
      </c>
      <c r="J19" s="6"/>
      <c r="K19" s="6">
        <v>361</v>
      </c>
      <c r="L19" s="6">
        <v>526</v>
      </c>
      <c r="M19" s="6">
        <v>458</v>
      </c>
      <c r="N19" s="6">
        <v>479</v>
      </c>
      <c r="O19" s="6">
        <f>463</f>
        <v>463</v>
      </c>
    </row>
    <row r="20" spans="1:15">
      <c r="A20" s="2" t="s">
        <v>216</v>
      </c>
      <c r="B20" s="6"/>
      <c r="C20" s="6">
        <v>530</v>
      </c>
      <c r="D20" s="6">
        <v>579</v>
      </c>
      <c r="E20" s="6">
        <v>621</v>
      </c>
      <c r="F20" s="6">
        <v>658</v>
      </c>
      <c r="G20" s="6">
        <v>290</v>
      </c>
      <c r="I20" s="2" t="s">
        <v>216</v>
      </c>
      <c r="J20" s="6"/>
      <c r="K20" s="6">
        <v>4</v>
      </c>
      <c r="L20" s="6">
        <v>51</v>
      </c>
      <c r="M20" s="6">
        <v>47</v>
      </c>
      <c r="N20" s="6">
        <v>140</v>
      </c>
      <c r="O20" s="6">
        <f>124</f>
        <v>124</v>
      </c>
    </row>
    <row r="21" spans="1:15">
      <c r="A21" s="2" t="s">
        <v>95</v>
      </c>
      <c r="B21" s="6"/>
      <c r="C21" s="6">
        <v>-122</v>
      </c>
      <c r="D21" s="6">
        <v>-89</v>
      </c>
      <c r="E21" s="6">
        <v>0</v>
      </c>
      <c r="F21" s="6">
        <v>-694</v>
      </c>
      <c r="G21" s="6">
        <v>-98</v>
      </c>
      <c r="I21" s="2" t="s">
        <v>95</v>
      </c>
      <c r="J21" s="6"/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1:15" ht="15.75" thickBot="1">
      <c r="A22" s="16" t="s">
        <v>16</v>
      </c>
      <c r="B22" s="17"/>
      <c r="C22" s="17">
        <f>SUM(C18:C21)</f>
        <v>1162</v>
      </c>
      <c r="D22" s="17">
        <f t="shared" ref="D22" si="9">SUM(D18:D21)</f>
        <v>1298</v>
      </c>
      <c r="E22" s="17">
        <f t="shared" ref="E22" si="10">SUM(E18:E21)</f>
        <v>1452</v>
      </c>
      <c r="F22" s="17">
        <f t="shared" ref="F22" si="11">SUM(F18:F21)</f>
        <v>779</v>
      </c>
      <c r="G22" s="17">
        <f t="shared" ref="G22" si="12">SUM(G18:G21)</f>
        <v>1080</v>
      </c>
      <c r="I22" s="16" t="s">
        <v>16</v>
      </c>
      <c r="J22" s="17"/>
      <c r="K22" s="17">
        <f>SUM(K18:K21)</f>
        <v>1049</v>
      </c>
      <c r="L22" s="17">
        <f t="shared" ref="L22" si="13">SUM(L18:L21)</f>
        <v>1166</v>
      </c>
      <c r="M22" s="17">
        <f t="shared" ref="M22" si="14">SUM(M18:M21)</f>
        <v>1053</v>
      </c>
      <c r="N22" s="17">
        <f t="shared" ref="N22" si="15">SUM(N18:N21)</f>
        <v>1197</v>
      </c>
      <c r="O22" s="17">
        <f t="shared" ref="O22" si="16">SUM(O18:O21)</f>
        <v>1147</v>
      </c>
    </row>
    <row r="23" spans="1:15" ht="15.75" thickTop="1"/>
    <row r="24" spans="1:15">
      <c r="B24" s="9"/>
      <c r="C24" s="9"/>
      <c r="D24" s="9"/>
      <c r="E24" s="9"/>
      <c r="F24" s="9"/>
      <c r="G24" s="9"/>
    </row>
    <row r="25" spans="1:15" ht="17.25">
      <c r="A25" s="3" t="s">
        <v>194</v>
      </c>
      <c r="I25" s="3" t="s">
        <v>176</v>
      </c>
    </row>
    <row r="27" spans="1:15">
      <c r="A27" s="59" t="s">
        <v>47</v>
      </c>
      <c r="B27" s="60">
        <f>B7</f>
        <v>2004</v>
      </c>
      <c r="C27" s="60">
        <f t="shared" ref="C27:G27" si="17">C7</f>
        <v>2005</v>
      </c>
      <c r="D27" s="60">
        <f t="shared" si="17"/>
        <v>2006</v>
      </c>
      <c r="E27" s="60">
        <f t="shared" si="17"/>
        <v>2007</v>
      </c>
      <c r="F27" s="60">
        <f t="shared" si="17"/>
        <v>2008</v>
      </c>
      <c r="G27" s="60">
        <f t="shared" si="17"/>
        <v>2009</v>
      </c>
      <c r="I27" s="59" t="s">
        <v>47</v>
      </c>
      <c r="J27" s="60">
        <f>J7</f>
        <v>2004</v>
      </c>
      <c r="K27" s="60">
        <f t="shared" ref="K27:O27" si="18">K7</f>
        <v>2005</v>
      </c>
      <c r="L27" s="60">
        <f t="shared" si="18"/>
        <v>2006</v>
      </c>
      <c r="M27" s="60">
        <f t="shared" si="18"/>
        <v>2007</v>
      </c>
      <c r="N27" s="60">
        <f t="shared" si="18"/>
        <v>2008</v>
      </c>
      <c r="O27" s="60">
        <f t="shared" si="18"/>
        <v>2009</v>
      </c>
    </row>
    <row r="28" spans="1:15">
      <c r="A28" s="2" t="s">
        <v>6</v>
      </c>
      <c r="B28" s="9" t="e">
        <f t="shared" ref="B28:G28" si="19">J18/J$22*B$32</f>
        <v>#DIV/0!</v>
      </c>
      <c r="C28" s="9">
        <f t="shared" si="19"/>
        <v>31.950428979980934</v>
      </c>
      <c r="D28" s="9">
        <f t="shared" si="19"/>
        <v>26.772727272727273</v>
      </c>
      <c r="E28" s="9">
        <f t="shared" si="19"/>
        <v>29.143399810066477</v>
      </c>
      <c r="F28" s="9">
        <f t="shared" si="19"/>
        <v>45.873015873015873</v>
      </c>
      <c r="G28" s="9">
        <f t="shared" si="19"/>
        <v>52.728857890148213</v>
      </c>
      <c r="I28" s="2" t="s">
        <v>6</v>
      </c>
      <c r="J28" s="6"/>
      <c r="K28" s="6">
        <v>1688</v>
      </c>
      <c r="L28" s="6">
        <v>1532</v>
      </c>
      <c r="M28" s="6">
        <v>1350</v>
      </c>
      <c r="N28" s="6">
        <v>1393</v>
      </c>
      <c r="O28" s="6">
        <f>1364</f>
        <v>1364</v>
      </c>
    </row>
    <row r="29" spans="1:15">
      <c r="A29" s="2" t="s">
        <v>57</v>
      </c>
      <c r="B29" s="9" t="e">
        <f t="shared" ref="B29:F31" si="20">J19/J$22*B$32</f>
        <v>#DIV/0!</v>
      </c>
      <c r="C29" s="9">
        <f t="shared" si="20"/>
        <v>16.86272640610105</v>
      </c>
      <c r="D29" s="9">
        <f t="shared" si="20"/>
        <v>23.909090909090907</v>
      </c>
      <c r="E29" s="9">
        <f t="shared" si="20"/>
        <v>24.35707502374169</v>
      </c>
      <c r="F29" s="9">
        <f t="shared" si="20"/>
        <v>38.015873015873012</v>
      </c>
      <c r="G29" s="9">
        <f t="shared" ref="G29:G31" si="21">O19/O$22*G$32</f>
        <v>43.59546643417611</v>
      </c>
      <c r="I29" s="2" t="s">
        <v>57</v>
      </c>
      <c r="J29" s="6"/>
      <c r="K29" s="6">
        <v>1058</v>
      </c>
      <c r="L29" s="6">
        <v>1102</v>
      </c>
      <c r="M29" s="6">
        <v>1002</v>
      </c>
      <c r="N29" s="6">
        <v>1054</v>
      </c>
      <c r="O29" s="6">
        <f>1031</f>
        <v>1031</v>
      </c>
    </row>
    <row r="30" spans="1:15">
      <c r="A30" s="2" t="s">
        <v>216</v>
      </c>
      <c r="B30" s="9" t="e">
        <f t="shared" si="20"/>
        <v>#DIV/0!</v>
      </c>
      <c r="C30" s="9">
        <f t="shared" si="20"/>
        <v>0.18684461391801716</v>
      </c>
      <c r="D30" s="9">
        <f t="shared" si="20"/>
        <v>2.3181818181818183</v>
      </c>
      <c r="E30" s="9">
        <f t="shared" si="20"/>
        <v>2.499525166191833</v>
      </c>
      <c r="F30" s="9">
        <f t="shared" si="20"/>
        <v>11.111111111111111</v>
      </c>
      <c r="G30" s="9">
        <f t="shared" si="21"/>
        <v>11.675675675675677</v>
      </c>
      <c r="I30" s="2" t="s">
        <v>216</v>
      </c>
      <c r="J30" s="6"/>
      <c r="K30" s="6">
        <v>819</v>
      </c>
      <c r="L30" s="6">
        <v>1148</v>
      </c>
      <c r="M30" s="6">
        <v>1040</v>
      </c>
      <c r="N30" s="6">
        <v>1660</v>
      </c>
      <c r="O30" s="6">
        <f>3752</f>
        <v>3752</v>
      </c>
    </row>
    <row r="31" spans="1:15">
      <c r="A31" s="2" t="s">
        <v>95</v>
      </c>
      <c r="B31" s="9" t="e">
        <f t="shared" si="20"/>
        <v>#DIV/0!</v>
      </c>
      <c r="C31" s="9">
        <f t="shared" si="20"/>
        <v>0</v>
      </c>
      <c r="D31" s="9">
        <f t="shared" si="20"/>
        <v>0</v>
      </c>
      <c r="E31" s="9">
        <f t="shared" si="20"/>
        <v>0</v>
      </c>
      <c r="F31" s="9">
        <f t="shared" si="20"/>
        <v>0</v>
      </c>
      <c r="G31" s="9">
        <f t="shared" si="21"/>
        <v>0</v>
      </c>
      <c r="I31" s="2" t="s">
        <v>95</v>
      </c>
      <c r="J31" s="6"/>
      <c r="K31" s="6">
        <v>0</v>
      </c>
      <c r="L31" s="6">
        <v>0</v>
      </c>
      <c r="M31" s="6">
        <v>0</v>
      </c>
      <c r="N31" s="6">
        <v>0</v>
      </c>
      <c r="O31" s="6">
        <v>0</v>
      </c>
    </row>
    <row r="32" spans="1:15" ht="15.75" thickBot="1">
      <c r="A32" s="16" t="s">
        <v>16</v>
      </c>
      <c r="B32" s="17">
        <f>Supplemental!K20</f>
        <v>268</v>
      </c>
      <c r="C32" s="17">
        <f>Supplemental!L20</f>
        <v>49</v>
      </c>
      <c r="D32" s="17">
        <f>Supplemental!M20</f>
        <v>53</v>
      </c>
      <c r="E32" s="17">
        <f>Supplemental!N20</f>
        <v>56</v>
      </c>
      <c r="F32" s="17">
        <f>Supplemental!O20</f>
        <v>95</v>
      </c>
      <c r="G32" s="17">
        <f>Supplemental!P20</f>
        <v>108</v>
      </c>
      <c r="I32" s="16" t="s">
        <v>16</v>
      </c>
      <c r="J32" s="17"/>
      <c r="K32" s="17">
        <f>SUM(K28:K31)</f>
        <v>3565</v>
      </c>
      <c r="L32" s="17">
        <f t="shared" ref="L32" si="22">SUM(L28:L31)</f>
        <v>3782</v>
      </c>
      <c r="M32" s="17">
        <f t="shared" ref="M32" si="23">SUM(M28:M31)</f>
        <v>3392</v>
      </c>
      <c r="N32" s="17">
        <f t="shared" ref="N32" si="24">SUM(N28:N31)</f>
        <v>4107</v>
      </c>
      <c r="O32" s="17">
        <f>Financials!O16</f>
        <v>8218</v>
      </c>
    </row>
    <row r="33" spans="1:17" ht="15.75" thickTop="1">
      <c r="A33"/>
      <c r="B33"/>
      <c r="C33"/>
      <c r="D33"/>
      <c r="E33"/>
      <c r="F33"/>
      <c r="G33"/>
    </row>
    <row r="34" spans="1:17" ht="17.25">
      <c r="A34" s="69" t="s">
        <v>192</v>
      </c>
      <c r="B34" s="69"/>
      <c r="C34"/>
      <c r="D34"/>
      <c r="E34"/>
      <c r="F34"/>
      <c r="G34"/>
      <c r="I34" s="3"/>
    </row>
    <row r="35" spans="1:17">
      <c r="I35" s="3" t="s">
        <v>172</v>
      </c>
    </row>
    <row r="37" spans="1:17">
      <c r="I37" s="59" t="s">
        <v>47</v>
      </c>
      <c r="J37" s="60">
        <f>J7</f>
        <v>2004</v>
      </c>
      <c r="K37" s="60">
        <f t="shared" ref="K37:O37" si="25">K7</f>
        <v>2005</v>
      </c>
      <c r="L37" s="60">
        <f t="shared" si="25"/>
        <v>2006</v>
      </c>
      <c r="M37" s="60">
        <f t="shared" si="25"/>
        <v>2007</v>
      </c>
      <c r="N37" s="60">
        <f t="shared" si="25"/>
        <v>2008</v>
      </c>
      <c r="O37" s="60">
        <f t="shared" si="25"/>
        <v>2009</v>
      </c>
    </row>
    <row r="38" spans="1:17">
      <c r="I38" s="2" t="s">
        <v>6</v>
      </c>
      <c r="J38" s="6"/>
      <c r="K38" s="6">
        <v>3184</v>
      </c>
      <c r="L38" s="6">
        <v>2955</v>
      </c>
      <c r="M38" s="6">
        <v>2752</v>
      </c>
      <c r="N38" s="6">
        <v>2604</v>
      </c>
      <c r="O38" s="6">
        <v>2562</v>
      </c>
    </row>
    <row r="39" spans="1:17">
      <c r="I39" s="2" t="s">
        <v>57</v>
      </c>
      <c r="J39" s="6"/>
      <c r="K39" s="6">
        <v>2184</v>
      </c>
      <c r="L39" s="6">
        <v>2328</v>
      </c>
      <c r="M39" s="6">
        <v>2236</v>
      </c>
      <c r="N39" s="6">
        <v>2151</v>
      </c>
      <c r="O39" s="6">
        <v>2125</v>
      </c>
    </row>
    <row r="40" spans="1:17">
      <c r="I40" s="2" t="s">
        <v>216</v>
      </c>
      <c r="J40" s="6"/>
      <c r="K40" s="6">
        <f>1186+2350</f>
        <v>3536</v>
      </c>
      <c r="L40" s="6">
        <v>3648</v>
      </c>
      <c r="M40" s="6">
        <v>3680</v>
      </c>
      <c r="N40" s="6">
        <v>6590</v>
      </c>
      <c r="O40" s="6">
        <v>7035</v>
      </c>
    </row>
    <row r="41" spans="1:17">
      <c r="I41" s="2" t="s">
        <v>95</v>
      </c>
      <c r="J41" s="6"/>
      <c r="K41" s="6">
        <v>-167</v>
      </c>
      <c r="L41" s="6">
        <v>24</v>
      </c>
      <c r="M41" s="6">
        <v>76</v>
      </c>
      <c r="N41" s="6">
        <v>-24</v>
      </c>
      <c r="O41" s="6">
        <v>-181</v>
      </c>
    </row>
    <row r="42" spans="1:17" ht="15.75" thickBot="1">
      <c r="I42" s="16" t="s">
        <v>16</v>
      </c>
      <c r="J42" s="17"/>
      <c r="K42" s="17">
        <f>SUM(K38:K41)</f>
        <v>8737</v>
      </c>
      <c r="L42" s="17">
        <f t="shared" ref="L42" si="26">SUM(L38:L41)</f>
        <v>8955</v>
      </c>
      <c r="M42" s="17">
        <f t="shared" ref="M42" si="27">SUM(M38:M41)</f>
        <v>8744</v>
      </c>
      <c r="N42" s="17">
        <f t="shared" ref="N42" si="28">SUM(N38:N41)</f>
        <v>11321</v>
      </c>
      <c r="O42" s="17">
        <f t="shared" ref="O42" si="29">SUM(O38:O41)</f>
        <v>11541</v>
      </c>
    </row>
    <row r="43" spans="1:17" ht="15.75" thickTop="1"/>
    <row r="44" spans="1:17" ht="17.25">
      <c r="I44" s="67" t="s">
        <v>193</v>
      </c>
      <c r="J44" s="67"/>
      <c r="M44" s="14"/>
      <c r="N44" s="14"/>
      <c r="O44" s="14"/>
      <c r="P44" s="14"/>
      <c r="Q44" s="14"/>
    </row>
  </sheetData>
  <pageMargins left="0.7" right="0.7" top="0.75" bottom="0.75" header="0.3" footer="0.3"/>
  <pageSetup scale="70" orientation="landscape" r:id="rId1"/>
  <headerFooter>
    <oddHeader>&amp;C&amp;"Calibri,Bold"&amp;12Henkel AG
Segment Financial Statements</oddHeader>
  </headerFooter>
  <ignoredErrors>
    <ignoredError sqref="K22 C22 C12 K3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2:S38"/>
  <sheetViews>
    <sheetView zoomScale="85" zoomScaleNormal="85" workbookViewId="0">
      <selection activeCell="A2" sqref="A2"/>
    </sheetView>
  </sheetViews>
  <sheetFormatPr defaultRowHeight="15"/>
  <cols>
    <col min="1" max="1" width="26" style="2" customWidth="1"/>
    <col min="2" max="7" width="9.140625" style="2"/>
    <col min="8" max="8" width="24.140625" style="2" customWidth="1"/>
    <col min="9" max="16384" width="9.140625" style="2"/>
  </cols>
  <sheetData>
    <row r="2" spans="1:19">
      <c r="A2" s="3" t="str">
        <f>company_name</f>
        <v>Henkel AG</v>
      </c>
    </row>
    <row r="3" spans="1:19">
      <c r="A3" s="2" t="s">
        <v>180</v>
      </c>
    </row>
    <row r="4" spans="1:19">
      <c r="A4" s="3"/>
    </row>
    <row r="5" spans="1:19">
      <c r="A5" s="3" t="s">
        <v>126</v>
      </c>
      <c r="H5" s="3" t="s">
        <v>178</v>
      </c>
      <c r="O5" s="1"/>
      <c r="P5" s="1"/>
      <c r="Q5" s="1"/>
      <c r="R5" s="1"/>
      <c r="S5" s="1"/>
    </row>
    <row r="6" spans="1:19">
      <c r="O6" s="1"/>
      <c r="P6" s="1"/>
      <c r="Q6" s="1"/>
      <c r="R6" s="1"/>
      <c r="S6" s="1"/>
    </row>
    <row r="7" spans="1:19">
      <c r="A7" s="63" t="s">
        <v>47</v>
      </c>
      <c r="B7" s="64">
        <v>2005</v>
      </c>
      <c r="C7" s="64">
        <f>B7+1</f>
        <v>2006</v>
      </c>
      <c r="D7" s="64">
        <f>C7+1</f>
        <v>2007</v>
      </c>
      <c r="E7" s="64">
        <f>D7+1</f>
        <v>2008</v>
      </c>
      <c r="F7" s="64">
        <f>E7+1</f>
        <v>2009</v>
      </c>
      <c r="H7" s="63" t="s">
        <v>47</v>
      </c>
      <c r="I7" s="64">
        <v>2005</v>
      </c>
      <c r="J7" s="64">
        <f>I7+1</f>
        <v>2006</v>
      </c>
      <c r="K7" s="64">
        <f>J7+1</f>
        <v>2007</v>
      </c>
      <c r="L7" s="64">
        <f>K7+1</f>
        <v>2008</v>
      </c>
      <c r="M7" s="64">
        <f>L7+1</f>
        <v>2009</v>
      </c>
      <c r="O7" s="1"/>
      <c r="P7" s="1"/>
      <c r="Q7" s="1"/>
      <c r="R7" s="1"/>
      <c r="S7" s="1"/>
    </row>
    <row r="8" spans="1:19">
      <c r="A8" s="2" t="s">
        <v>6</v>
      </c>
      <c r="B8" s="36">
        <f>B24*(1-NOPLAT!J$17)*I8</f>
        <v>0.21922683415143759</v>
      </c>
      <c r="C8" s="36">
        <f>C24*(1-NOPLAT!K$17)*J8</f>
        <v>0.23439374891985948</v>
      </c>
      <c r="D8" s="36">
        <f>D24*(1-NOPLAT!L$17)*K8</f>
        <v>0.24116741684337648</v>
      </c>
      <c r="E8" s="36">
        <f>E24*(1-NOPLAT!M$17)*L8</f>
        <v>0.27531788352652625</v>
      </c>
      <c r="F8" s="36">
        <f>F24*(1-NOPLAT!N$17)*M8</f>
        <v>0.32965818465588204</v>
      </c>
      <c r="H8" s="2" t="s">
        <v>6</v>
      </c>
      <c r="I8" s="61">
        <f>Segments!C8/Segments!K8</f>
        <v>2.7326203208556148</v>
      </c>
      <c r="J8" s="61">
        <f>Segments!D8/Segments!L8</f>
        <v>2.8931834153197471</v>
      </c>
      <c r="K8" s="61">
        <f>Segments!E8/Segments!M8</f>
        <v>2.9586305278174039</v>
      </c>
      <c r="L8" s="61">
        <f>Segments!F8/Segments!N8</f>
        <v>3.445086705202312</v>
      </c>
      <c r="M8" s="61">
        <f>Segments!G8/Segments!O8</f>
        <v>3.4465776293823041</v>
      </c>
      <c r="O8" s="1"/>
      <c r="P8" s="1"/>
      <c r="Q8" s="1"/>
      <c r="R8" s="1"/>
      <c r="S8" s="1"/>
    </row>
    <row r="9" spans="1:19">
      <c r="A9" s="2" t="s">
        <v>57</v>
      </c>
      <c r="B9" s="36">
        <f>B25*(1-NOPLAT!J$17)*I9</f>
        <v>0.211651107262016</v>
      </c>
      <c r="C9" s="36">
        <f>C25*(1-NOPLAT!K$17)*J9</f>
        <v>0.21895586820615709</v>
      </c>
      <c r="D9" s="36">
        <f>D25*(1-NOPLAT!L$17)*K9</f>
        <v>0.22247984783017186</v>
      </c>
      <c r="E9" s="36">
        <f>E25*(1-NOPLAT!M$17)*L9</f>
        <v>0.25951407328596787</v>
      </c>
      <c r="F9" s="36">
        <f>F25*(1-NOPLAT!N$17)*M9</f>
        <v>0.2807214860321614</v>
      </c>
      <c r="H9" s="2" t="s">
        <v>57</v>
      </c>
      <c r="I9" s="61">
        <f>Segments!C9/Segments!K9</f>
        <v>2.3348134991119007</v>
      </c>
      <c r="J9" s="61">
        <f>Segments!D9/Segments!L9</f>
        <v>2.3360522022838501</v>
      </c>
      <c r="K9" s="61">
        <f>Segments!E9/Segments!M9</f>
        <v>2.4084278768233389</v>
      </c>
      <c r="L9" s="61">
        <f>Segments!F9/Segments!N9</f>
        <v>2.7493163172288058</v>
      </c>
      <c r="M9" s="61">
        <f>Segments!G9/Segments!O9</f>
        <v>2.7513711151736744</v>
      </c>
      <c r="O9" s="1"/>
      <c r="P9" s="1"/>
      <c r="Q9" s="1"/>
      <c r="R9" s="1"/>
      <c r="S9" s="1"/>
    </row>
    <row r="10" spans="1:19">
      <c r="A10" s="2" t="s">
        <v>216</v>
      </c>
      <c r="B10" s="36">
        <f>B26*(1-NOPLAT!J$17)*I10</f>
        <v>0.13764421462893633</v>
      </c>
      <c r="C10" s="36">
        <f>C26*(1-NOPLAT!K$17)*J10</f>
        <v>0.16301414101362555</v>
      </c>
      <c r="D10" s="36">
        <f>D26*(1-NOPLAT!L$17)*K10</f>
        <v>0.16358799287147266</v>
      </c>
      <c r="E10" s="36">
        <f>E26*(1-NOPLAT!M$17)*L10</f>
        <v>9.3325832452093888E-2</v>
      </c>
      <c r="F10" s="36">
        <f>F26*(1-NOPLAT!N$17)*M10</f>
        <v>6.5537962355773388E-2</v>
      </c>
      <c r="H10" s="2" t="s">
        <v>216</v>
      </c>
      <c r="I10" s="61">
        <f>Segments!C10/Segments!K10</f>
        <v>1.8432094221567905</v>
      </c>
      <c r="J10" s="61">
        <f>Segments!D10/Segments!L10</f>
        <v>2.2040000000000002</v>
      </c>
      <c r="K10" s="61">
        <f>Segments!E10/Segments!M10</f>
        <v>2.1632575757575756</v>
      </c>
      <c r="L10" s="61">
        <f>Segments!F10/Segments!N10</f>
        <v>1.3590263691683571</v>
      </c>
      <c r="M10" s="61">
        <f>Segments!G10/Segments!O10</f>
        <v>1.8958269875114224</v>
      </c>
      <c r="O10" s="1"/>
      <c r="P10" s="1"/>
      <c r="Q10" s="1"/>
      <c r="R10" s="1"/>
      <c r="S10" s="1"/>
    </row>
    <row r="12" spans="1:19">
      <c r="B12" s="9"/>
      <c r="C12" s="9"/>
      <c r="D12" s="9"/>
      <c r="E12" s="9"/>
      <c r="F12" s="9"/>
      <c r="I12" s="9"/>
      <c r="J12" s="9"/>
      <c r="K12" s="9"/>
      <c r="L12" s="9"/>
      <c r="M12" s="9"/>
      <c r="O12" s="9"/>
      <c r="P12" s="9"/>
      <c r="Q12" s="9"/>
      <c r="R12" s="9"/>
      <c r="S12" s="9"/>
    </row>
    <row r="13" spans="1:19">
      <c r="A13" s="3" t="s">
        <v>126</v>
      </c>
      <c r="H13" s="3" t="s">
        <v>179</v>
      </c>
    </row>
    <row r="15" spans="1:19">
      <c r="A15" s="59" t="s">
        <v>47</v>
      </c>
      <c r="B15" s="60">
        <v>2005</v>
      </c>
      <c r="C15" s="60">
        <f>B15+1</f>
        <v>2006</v>
      </c>
      <c r="D15" s="60">
        <f>C15+1</f>
        <v>2007</v>
      </c>
      <c r="E15" s="60">
        <f>D15+1</f>
        <v>2008</v>
      </c>
      <c r="F15" s="60">
        <f>E15+1</f>
        <v>2009</v>
      </c>
      <c r="H15" s="59" t="s">
        <v>47</v>
      </c>
      <c r="I15" s="60">
        <v>2005</v>
      </c>
      <c r="J15" s="60">
        <f>I15+1</f>
        <v>2006</v>
      </c>
      <c r="K15" s="60">
        <f>J15+1</f>
        <v>2007</v>
      </c>
      <c r="L15" s="60">
        <f>K15+1</f>
        <v>2008</v>
      </c>
      <c r="M15" s="60">
        <f>L15+1</f>
        <v>2009</v>
      </c>
    </row>
    <row r="16" spans="1:19">
      <c r="A16" s="2" t="s">
        <v>6</v>
      </c>
      <c r="B16" s="36">
        <f>B24*(1-NOPLAT!J$17)*I16</f>
        <v>0.10300356277969556</v>
      </c>
      <c r="C16" s="36">
        <f>C24*(1-NOPLAT!K$17)*J16</f>
        <v>0.11287387638340442</v>
      </c>
      <c r="D16" s="36">
        <f>D24*(1-NOPLAT!L$17)*K16</f>
        <v>0.12286217965640035</v>
      </c>
      <c r="E16" s="36">
        <f>E24*(1-NOPLAT!M$17)*L16</f>
        <v>0.12803761787658344</v>
      </c>
      <c r="F16" s="36">
        <f>F24*(1-NOPLAT!N$17)*M16</f>
        <v>0.15414929946047876</v>
      </c>
      <c r="H16" s="2" t="s">
        <v>6</v>
      </c>
      <c r="I16" s="61">
        <f>Segments!C8/Segments!K38</f>
        <v>1.2839195979899498</v>
      </c>
      <c r="J16" s="61">
        <f>Segments!D8/Segments!L38</f>
        <v>1.3932318104906938</v>
      </c>
      <c r="K16" s="61">
        <f>Segments!E8/Segments!M38</f>
        <v>1.507267441860465</v>
      </c>
      <c r="L16" s="61">
        <f>Segments!F8/Segments!N38</f>
        <v>1.6021505376344085</v>
      </c>
      <c r="M16" s="61">
        <f>Segments!G8/Segments!O38</f>
        <v>1.611631537861046</v>
      </c>
    </row>
    <row r="17" spans="1:13">
      <c r="A17" s="2" t="s">
        <v>57</v>
      </c>
      <c r="B17" s="36">
        <f>B25*(1-NOPLAT!J$17)*I17</f>
        <v>0.10912048845102106</v>
      </c>
      <c r="C17" s="36">
        <f>C25*(1-NOPLAT!K$17)*J17</f>
        <v>0.11530923299860335</v>
      </c>
      <c r="D17" s="36">
        <f>D25*(1-NOPLAT!L$17)*K17</f>
        <v>0.12278181226405727</v>
      </c>
      <c r="E17" s="36">
        <f>E25*(1-NOPLAT!M$17)*L17</f>
        <v>0.13235097089479625</v>
      </c>
      <c r="F17" s="36">
        <f>F25*(1-NOPLAT!N$17)*M17</f>
        <v>0.14452202622079274</v>
      </c>
      <c r="H17" s="2" t="s">
        <v>57</v>
      </c>
      <c r="I17" s="61">
        <f>Segments!C9/Segments!K39</f>
        <v>1.2037545787545787</v>
      </c>
      <c r="J17" s="61">
        <f>Segments!D9/Segments!L39</f>
        <v>1.2302405498281788</v>
      </c>
      <c r="K17" s="61">
        <f>Segments!E9/Segments!M39</f>
        <v>1.329159212880143</v>
      </c>
      <c r="L17" s="61">
        <f>Segments!F9/Segments!N39</f>
        <v>1.402138540213854</v>
      </c>
      <c r="M17" s="61">
        <f>Segments!G9/Segments!O39</f>
        <v>1.4164705882352941</v>
      </c>
    </row>
    <row r="18" spans="1:13">
      <c r="A18" s="2" t="s">
        <v>216</v>
      </c>
      <c r="B18" s="36">
        <f>B26*(1-NOPLAT!J$17)*I18</f>
        <v>0.10576338550532241</v>
      </c>
      <c r="C18" s="36">
        <f>C26*(1-NOPLAT!K$17)*J18</f>
        <v>0.11171473479552189</v>
      </c>
      <c r="D18" s="36">
        <f>D26*(1-NOPLAT!L$17)*K18</f>
        <v>0.11735660358170866</v>
      </c>
      <c r="E18" s="36">
        <f>E26*(1-NOPLAT!M$17)*L18</f>
        <v>6.9817352653842618E-2</v>
      </c>
      <c r="F18" s="36">
        <f>F26*(1-NOPLAT!N$17)*M18</f>
        <v>3.0584382432694249E-2</v>
      </c>
      <c r="H18" s="2" t="s">
        <v>216</v>
      </c>
      <c r="I18" s="61">
        <f>Segments!C10/Segments!K40</f>
        <v>1.4162895927601811</v>
      </c>
      <c r="J18" s="61">
        <f>Segments!D10/Segments!L40</f>
        <v>1.5104166666666667</v>
      </c>
      <c r="K18" s="61">
        <f>Segments!E10/Segments!M40</f>
        <v>1.5519021739130434</v>
      </c>
      <c r="L18" s="61">
        <f>Segments!F10/Segments!N40</f>
        <v>1.0166919575113809</v>
      </c>
      <c r="M18" s="61">
        <f>Segments!G10/Segments!O40</f>
        <v>0.88471926083866381</v>
      </c>
    </row>
    <row r="20" spans="1:13">
      <c r="B20" s="9"/>
      <c r="C20" s="9"/>
      <c r="D20" s="9"/>
      <c r="E20" s="9"/>
      <c r="F20" s="9"/>
    </row>
    <row r="21" spans="1:13">
      <c r="A21" s="3" t="s">
        <v>181</v>
      </c>
      <c r="H21"/>
      <c r="I21"/>
      <c r="J21"/>
      <c r="K21"/>
      <c r="L21"/>
      <c r="M21"/>
    </row>
    <row r="22" spans="1:13">
      <c r="H22"/>
      <c r="I22"/>
      <c r="J22"/>
      <c r="K22"/>
      <c r="L22"/>
      <c r="M22"/>
    </row>
    <row r="23" spans="1:13">
      <c r="A23" s="59" t="s">
        <v>47</v>
      </c>
      <c r="B23" s="60">
        <v>2005</v>
      </c>
      <c r="C23" s="60">
        <f>B23+1</f>
        <v>2006</v>
      </c>
      <c r="D23" s="60">
        <f>C23+1</f>
        <v>2007</v>
      </c>
      <c r="E23" s="60">
        <f>D23+1</f>
        <v>2008</v>
      </c>
      <c r="F23" s="60">
        <f>E23+1</f>
        <v>2009</v>
      </c>
      <c r="H23"/>
      <c r="I23"/>
      <c r="J23"/>
      <c r="K23"/>
      <c r="L23"/>
      <c r="M23"/>
    </row>
    <row r="24" spans="1:13">
      <c r="A24" s="2" t="s">
        <v>6</v>
      </c>
      <c r="B24" s="36">
        <f>(Segments!C18+Segments!C28)/Segments!C8</f>
        <v>0.11373542783267636</v>
      </c>
      <c r="C24" s="36">
        <f>(Segments!D18+Segments!D28)/Segments!D8</f>
        <v>0.11556296508931922</v>
      </c>
      <c r="D24" s="36">
        <f>(Segments!E18+Segments!E28)/Segments!E8</f>
        <v>0.11768162965527157</v>
      </c>
      <c r="E24" s="36">
        <f>(Segments!F18+Segments!F28)/Segments!F8</f>
        <v>0.11622076123514283</v>
      </c>
      <c r="F24" s="36">
        <f>(Segments!G18+Segments!G28)/Segments!G8</f>
        <v>0.13410725548320374</v>
      </c>
      <c r="H24"/>
      <c r="I24"/>
      <c r="J24"/>
      <c r="K24"/>
      <c r="L24"/>
      <c r="M24"/>
    </row>
    <row r="25" spans="1:13">
      <c r="A25" s="2" t="s">
        <v>57</v>
      </c>
      <c r="B25" s="36">
        <f>(Segments!C19+Segments!C29)/Segments!C9</f>
        <v>0.1285137795382659</v>
      </c>
      <c r="C25" s="36">
        <f>(Segments!D19+Segments!D29)/Segments!D9</f>
        <v>0.13369730827831386</v>
      </c>
      <c r="D25" s="36">
        <f>(Segments!E19+Segments!E29)/Segments!E9</f>
        <v>0.13336375337272602</v>
      </c>
      <c r="E25" s="36">
        <f>(Segments!F19+Segments!F29)/Segments!F9</f>
        <v>0.13727316744558124</v>
      </c>
      <c r="F25" s="36">
        <f>(Segments!G19+Segments!G29)/Segments!G9</f>
        <v>0.14305497223726782</v>
      </c>
      <c r="H25"/>
      <c r="I25"/>
      <c r="J25"/>
      <c r="K25"/>
      <c r="L25"/>
      <c r="M25"/>
    </row>
    <row r="26" spans="1:13">
      <c r="A26" s="2" t="s">
        <v>216</v>
      </c>
      <c r="B26" s="36">
        <f>(Segments!C20+Segments!C30)/Segments!C10</f>
        <v>0.10586798015453634</v>
      </c>
      <c r="C26" s="36">
        <f>(Segments!D20+Segments!D30)/Segments!D10</f>
        <v>0.10550239234449761</v>
      </c>
      <c r="D26" s="36">
        <f>(Segments!E20+Segments!E30)/Segments!E10</f>
        <v>0.10917519263985148</v>
      </c>
      <c r="E26" s="36">
        <f>(Segments!F20+Segments!F30)/Segments!F10</f>
        <v>9.9867330016583739E-2</v>
      </c>
      <c r="F26" s="36">
        <f>(Segments!G20+Segments!G30)/Segments!G10</f>
        <v>4.8469742235809077E-2</v>
      </c>
      <c r="H26"/>
      <c r="I26"/>
      <c r="J26"/>
      <c r="K26"/>
      <c r="L26"/>
      <c r="M26"/>
    </row>
    <row r="27" spans="1:13">
      <c r="A27" s="1"/>
      <c r="B27" s="1"/>
      <c r="C27" s="1"/>
      <c r="D27" s="1"/>
      <c r="E27" s="1"/>
      <c r="F27" s="1"/>
      <c r="H27"/>
      <c r="I27"/>
      <c r="J27"/>
      <c r="K27"/>
      <c r="L27"/>
      <c r="M27"/>
    </row>
    <row r="28" spans="1:13">
      <c r="A28" s="43"/>
      <c r="B28" s="1"/>
      <c r="C28" s="1"/>
      <c r="D28" s="1"/>
      <c r="E28" s="1"/>
      <c r="F28" s="1"/>
      <c r="H28"/>
      <c r="I28"/>
      <c r="J28"/>
      <c r="K28"/>
      <c r="L28"/>
      <c r="M28"/>
    </row>
    <row r="29" spans="1:13">
      <c r="H29"/>
      <c r="I29"/>
      <c r="J29"/>
      <c r="K29"/>
      <c r="L29"/>
      <c r="M29"/>
    </row>
    <row r="30" spans="1:13">
      <c r="H30"/>
      <c r="I30"/>
      <c r="J30"/>
      <c r="K30"/>
      <c r="L30"/>
      <c r="M30"/>
    </row>
    <row r="31" spans="1:13">
      <c r="H31"/>
      <c r="I31"/>
      <c r="J31"/>
      <c r="K31"/>
      <c r="L31"/>
      <c r="M31"/>
    </row>
    <row r="32" spans="1:13">
      <c r="H32"/>
      <c r="I32"/>
      <c r="J32"/>
      <c r="K32"/>
      <c r="L32"/>
      <c r="M32"/>
    </row>
    <row r="33" spans="8:15">
      <c r="H33"/>
      <c r="I33"/>
      <c r="J33"/>
      <c r="K33"/>
      <c r="L33"/>
      <c r="M33"/>
    </row>
    <row r="34" spans="8:15">
      <c r="H34"/>
      <c r="I34"/>
      <c r="J34"/>
      <c r="K34"/>
      <c r="L34"/>
      <c r="M34"/>
    </row>
    <row r="35" spans="8:15">
      <c r="H35"/>
      <c r="I35"/>
      <c r="J35"/>
      <c r="K35"/>
      <c r="L35"/>
      <c r="M35"/>
    </row>
    <row r="36" spans="8:15">
      <c r="H36"/>
      <c r="I36"/>
      <c r="J36"/>
      <c r="K36"/>
      <c r="L36"/>
      <c r="M36"/>
    </row>
    <row r="38" spans="8:15">
      <c r="K38" s="14"/>
      <c r="L38" s="14"/>
      <c r="M38" s="14"/>
      <c r="N38" s="14"/>
      <c r="O38" s="14"/>
    </row>
  </sheetData>
  <pageMargins left="0.7" right="0.7" top="0.75" bottom="0.75" header="0.3" footer="0.3"/>
  <pageSetup scale="70" orientation="landscape" r:id="rId1"/>
  <headerFooter>
    <oddHeader>&amp;C&amp;"Calibri,Bold"&amp;12Henkel AG
Segment Ratios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2:L14"/>
  <sheetViews>
    <sheetView zoomScale="85" zoomScaleNormal="85" workbookViewId="0">
      <selection activeCell="A2" sqref="A2"/>
    </sheetView>
  </sheetViews>
  <sheetFormatPr defaultColWidth="8.85546875" defaultRowHeight="15" outlineLevelCol="1"/>
  <cols>
    <col min="1" max="1" width="36.85546875" style="2" customWidth="1"/>
    <col min="2" max="2" width="9.7109375" style="2" hidden="1" customWidth="1" outlineLevel="1"/>
    <col min="3" max="3" width="9.7109375" style="2" customWidth="1" collapsed="1"/>
    <col min="4" max="7" width="9.7109375" style="2" customWidth="1"/>
    <col min="8" max="8" width="9.7109375" customWidth="1"/>
    <col min="13" max="16384" width="8.85546875" style="2"/>
  </cols>
  <sheetData>
    <row r="2" spans="1:12">
      <c r="A2" s="3" t="str">
        <f>company_name</f>
        <v>Henkel AG</v>
      </c>
      <c r="H2" s="2"/>
      <c r="I2" s="2"/>
      <c r="J2" s="2"/>
      <c r="K2" s="2"/>
      <c r="L2" s="2"/>
    </row>
    <row r="3" spans="1:12">
      <c r="A3" s="2" t="s">
        <v>126</v>
      </c>
      <c r="H3" s="2"/>
      <c r="I3" s="2"/>
      <c r="J3" s="2"/>
      <c r="K3" s="2"/>
      <c r="L3" s="2"/>
    </row>
    <row r="5" spans="1:12">
      <c r="A5" s="4" t="s">
        <v>64</v>
      </c>
      <c r="B5" s="4">
        <f>Financials!B5</f>
        <v>2004</v>
      </c>
      <c r="C5" s="4">
        <f>Financials!C5</f>
        <v>2005</v>
      </c>
      <c r="D5" s="4">
        <f>Financials!D5</f>
        <v>2006</v>
      </c>
      <c r="E5" s="4">
        <f>Financials!E5</f>
        <v>2007</v>
      </c>
      <c r="F5" s="4">
        <f>Financials!F5</f>
        <v>2008</v>
      </c>
      <c r="G5" s="4">
        <f>Financials!G5</f>
        <v>2009</v>
      </c>
      <c r="H5" s="2"/>
      <c r="I5" s="2"/>
      <c r="J5" s="2"/>
      <c r="K5" s="2"/>
      <c r="L5" s="2"/>
    </row>
    <row r="6" spans="1:12">
      <c r="A6" s="2" t="s">
        <v>163</v>
      </c>
      <c r="B6" s="36">
        <f>NOPLAT!I15</f>
        <v>0.11952416918429003</v>
      </c>
      <c r="C6" s="36">
        <f>NOPLAT!J15</f>
        <v>0.10205445131117422</v>
      </c>
      <c r="D6" s="36">
        <f>NOPLAT!K15</f>
        <v>9.8979591836734687E-2</v>
      </c>
      <c r="E6" s="36">
        <f>NOPLAT!L15</f>
        <v>0.10731222273214013</v>
      </c>
      <c r="F6" s="36">
        <f>NOPLAT!M15</f>
        <v>0.10869719057391551</v>
      </c>
      <c r="G6" s="36">
        <f>NOPLAT!N15</f>
        <v>0.10329330288071907</v>
      </c>
    </row>
    <row r="7" spans="1:12">
      <c r="A7" s="7" t="s">
        <v>72</v>
      </c>
      <c r="B7" s="55">
        <f>NOPLAT!I17</f>
        <v>-1.3859043596468027E-2</v>
      </c>
      <c r="C7" s="55">
        <f>NOPLAT!J17</f>
        <v>0.29462729046181491</v>
      </c>
      <c r="D7" s="55">
        <f>NOPLAT!K17</f>
        <v>0.29894614467515795</v>
      </c>
      <c r="E7" s="55">
        <f>NOPLAT!L17</f>
        <v>0.30734141126158238</v>
      </c>
      <c r="F7" s="55">
        <f>NOPLAT!M17</f>
        <v>0.312376754251178</v>
      </c>
      <c r="G7" s="55">
        <f>NOPLAT!N17</f>
        <v>0.28677998339740646</v>
      </c>
    </row>
    <row r="8" spans="1:12">
      <c r="A8" s="2" t="s">
        <v>164</v>
      </c>
      <c r="B8" s="36">
        <f>NOPLAT!I18</f>
        <v>0.12118065985584671</v>
      </c>
      <c r="C8" s="36">
        <f>NOPLAT!J18</f>
        <v>7.1986424841795738E-2</v>
      </c>
      <c r="D8" s="36">
        <f>NOPLAT!K18</f>
        <v>6.9390024455622118E-2</v>
      </c>
      <c r="E8" s="36">
        <f>NOPLAT!L18</f>
        <v>7.4330732752026923E-2</v>
      </c>
      <c r="F8" s="36">
        <f>NOPLAT!M18</f>
        <v>7.4742714986214029E-2</v>
      </c>
      <c r="G8" s="36">
        <f>NOPLAT!N18</f>
        <v>7.3670851195523177E-2</v>
      </c>
    </row>
    <row r="10" spans="1:12">
      <c r="A10" s="2" t="s">
        <v>165</v>
      </c>
      <c r="B10" s="18">
        <f>NOPLAT!B$6/AVERAGE(Capital!A23:B23)</f>
        <v>3.3939580369387725</v>
      </c>
      <c r="C10" s="18">
        <f>NOPLAT!C$6/AVERAGE(Capital!B23:C23)</f>
        <v>4.2063330359087496</v>
      </c>
      <c r="D10" s="18">
        <f>NOPLAT!D$6/AVERAGE(Capital!C23:D23)</f>
        <v>4.7919236903078257</v>
      </c>
      <c r="E10" s="18">
        <f>NOPLAT!E$6/AVERAGE(Capital!D23:E23)</f>
        <v>4.6799158087656245</v>
      </c>
      <c r="F10" s="18">
        <f>NOPLAT!F$6/AVERAGE(Capital!E23:F23)</f>
        <v>4.6790616049403155</v>
      </c>
      <c r="G10" s="18">
        <f>NOPLAT!G$6/AVERAGE(Capital!F23:G23)</f>
        <v>4.7582154851465708</v>
      </c>
    </row>
    <row r="11" spans="1:12">
      <c r="A11" s="2" t="s">
        <v>166</v>
      </c>
      <c r="B11" s="18">
        <f>NOPLAT!B$6/AVERAGE(Capital!A25:B25)</f>
        <v>2.3258673693456302</v>
      </c>
      <c r="C11" s="18">
        <f>NOPLAT!C$6/AVERAGE(Capital!B25:C25)</f>
        <v>2.3446250244762092</v>
      </c>
      <c r="D11" s="18">
        <f>NOPLAT!D$6/AVERAGE(Capital!C25:D25)</f>
        <v>2.2858168116982149</v>
      </c>
      <c r="E11" s="18">
        <f>NOPLAT!E$6/AVERAGE(Capital!D25:E25)</f>
        <v>2.5077203414213098</v>
      </c>
      <c r="F11" s="18">
        <f>NOPLAT!F$6/AVERAGE(Capital!E25:F25)</f>
        <v>2.1198619861986199</v>
      </c>
      <c r="G11" s="18">
        <f>NOPLAT!G$6/AVERAGE(Capital!F25:G25)</f>
        <v>1.6343166767007826</v>
      </c>
    </row>
    <row r="13" spans="1:12">
      <c r="A13" s="2" t="s">
        <v>167</v>
      </c>
      <c r="B13" s="36">
        <f t="shared" ref="B13:F13" si="0">B$8*B10</f>
        <v>0.4112820744392946</v>
      </c>
      <c r="C13" s="36">
        <f t="shared" si="0"/>
        <v>0.3027988769490077</v>
      </c>
      <c r="D13" s="36">
        <f t="shared" si="0"/>
        <v>0.33251170205993502</v>
      </c>
      <c r="E13" s="36">
        <f t="shared" si="0"/>
        <v>0.34786157128334355</v>
      </c>
      <c r="F13" s="36">
        <f t="shared" si="0"/>
        <v>0.34972576794099119</v>
      </c>
      <c r="G13" s="36">
        <f>G$8*G10</f>
        <v>0.35054178496246713</v>
      </c>
    </row>
    <row r="14" spans="1:12">
      <c r="A14" s="2" t="s">
        <v>168</v>
      </c>
      <c r="B14" s="36">
        <f t="shared" ref="B14:F14" si="1">B$8*B11</f>
        <v>0.28185014255448582</v>
      </c>
      <c r="C14" s="36">
        <f t="shared" si="1"/>
        <v>0.16878117310665014</v>
      </c>
      <c r="D14" s="36">
        <f t="shared" si="1"/>
        <v>0.15861288446481131</v>
      </c>
      <c r="E14" s="36">
        <f t="shared" si="1"/>
        <v>0.1864006905150091</v>
      </c>
      <c r="F14" s="36">
        <f t="shared" si="1"/>
        <v>0.15844424024455303</v>
      </c>
      <c r="G14" s="36">
        <f>G$8*G11</f>
        <v>0.12040150069558532</v>
      </c>
    </row>
  </sheetData>
  <phoneticPr fontId="2" type="noConversion"/>
  <pageMargins left="0.7" right="0.7" top="0.75" bottom="0.75" header="0.3" footer="0.3"/>
  <pageSetup scale="70" orientation="landscape" r:id="rId1"/>
  <headerFooter>
    <oddHeader>&amp;C&amp;"Calibri,Bold"&amp;12Henkel AG
ROIC, Margin, and Turnover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2:R54"/>
  <sheetViews>
    <sheetView zoomScale="85" zoomScaleNormal="85" workbookViewId="0">
      <selection activeCell="A2" sqref="A2"/>
    </sheetView>
  </sheetViews>
  <sheetFormatPr defaultRowHeight="15" outlineLevelCol="1"/>
  <cols>
    <col min="1" max="1" width="37.7109375" style="2" customWidth="1"/>
    <col min="2" max="2" width="9.140625" style="2" hidden="1" customWidth="1" outlineLevel="1"/>
    <col min="3" max="3" width="9.140625" style="2" collapsed="1"/>
    <col min="4" max="8" width="9.140625" style="2"/>
    <col min="9" max="9" width="9.140625" style="2" hidden="1" customWidth="1" outlineLevel="1"/>
    <col min="10" max="10" width="9.140625" style="2" collapsed="1"/>
    <col min="11" max="16384" width="9.140625" style="2"/>
  </cols>
  <sheetData>
    <row r="2" spans="1:14">
      <c r="A2" s="3" t="str">
        <f>company_name</f>
        <v>Henkel AG</v>
      </c>
      <c r="J2" s="3" t="str">
        <f>company_name</f>
        <v>Henkel AG</v>
      </c>
    </row>
    <row r="3" spans="1:14">
      <c r="A3" s="2" t="s">
        <v>9</v>
      </c>
      <c r="J3" s="2" t="s">
        <v>169</v>
      </c>
    </row>
    <row r="5" spans="1:14">
      <c r="A5" s="4" t="str">
        <f>Financials!A5</f>
        <v>EUR millions</v>
      </c>
      <c r="B5" s="4">
        <f>Financials!B5</f>
        <v>2004</v>
      </c>
      <c r="C5" s="4">
        <f>Financials!C5</f>
        <v>2005</v>
      </c>
      <c r="D5" s="4">
        <f>Financials!D5</f>
        <v>2006</v>
      </c>
      <c r="E5" s="4">
        <f>Financials!E5</f>
        <v>2007</v>
      </c>
      <c r="F5" s="4">
        <f>Financials!F5</f>
        <v>2008</v>
      </c>
      <c r="G5" s="4">
        <f>Financials!G5</f>
        <v>2009</v>
      </c>
      <c r="I5" s="4">
        <f>B5</f>
        <v>2004</v>
      </c>
      <c r="J5" s="4">
        <f t="shared" ref="J5:N5" si="0">C5</f>
        <v>2005</v>
      </c>
      <c r="K5" s="4">
        <f t="shared" si="0"/>
        <v>2006</v>
      </c>
      <c r="L5" s="4">
        <f t="shared" si="0"/>
        <v>2007</v>
      </c>
      <c r="M5" s="4">
        <f t="shared" si="0"/>
        <v>2008</v>
      </c>
      <c r="N5" s="4">
        <f t="shared" si="0"/>
        <v>2009</v>
      </c>
    </row>
    <row r="6" spans="1:14">
      <c r="A6" s="2" t="s">
        <v>66</v>
      </c>
      <c r="B6" s="9">
        <f>Financials!B6</f>
        <v>10592</v>
      </c>
      <c r="C6" s="9">
        <f>Financials!C6</f>
        <v>11974</v>
      </c>
      <c r="D6" s="9">
        <f>Financials!D6</f>
        <v>12740</v>
      </c>
      <c r="E6" s="9">
        <f>Financials!E6</f>
        <v>13074</v>
      </c>
      <c r="F6" s="9">
        <f>Financials!F6</f>
        <v>14131</v>
      </c>
      <c r="G6" s="9">
        <f>Financials!G6</f>
        <v>13573</v>
      </c>
      <c r="I6" s="54" t="s">
        <v>18</v>
      </c>
      <c r="J6" s="36">
        <f>C6/B6-1</f>
        <v>0.1304758308157099</v>
      </c>
      <c r="K6" s="36">
        <f>D6/C6-1</f>
        <v>6.3971939201603378E-2</v>
      </c>
      <c r="L6" s="36">
        <f>E6/D6-1</f>
        <v>2.6216640502354727E-2</v>
      </c>
      <c r="M6" s="36">
        <f>F6/E6-1</f>
        <v>8.0847483555147592E-2</v>
      </c>
      <c r="N6" s="36">
        <f>G6/F6-1</f>
        <v>-3.9487651263180212E-2</v>
      </c>
    </row>
    <row r="7" spans="1:14" ht="17.25">
      <c r="A7" s="7" t="s">
        <v>161</v>
      </c>
      <c r="B7" s="28">
        <f>Financials!B7+Supplemental!K6</f>
        <v>-5615</v>
      </c>
      <c r="C7" s="28">
        <f>Financials!C7+Supplemental!L6</f>
        <v>-6533</v>
      </c>
      <c r="D7" s="28">
        <f>Financials!D7+Supplemental!M6</f>
        <v>-6963</v>
      </c>
      <c r="E7" s="28">
        <f>Financials!E7+Supplemental!N6</f>
        <v>-7013</v>
      </c>
      <c r="F7" s="28">
        <f>Financials!F7+Supplemental!O6</f>
        <v>-7817</v>
      </c>
      <c r="G7" s="28">
        <f>Financials!G7+Supplemental!P6</f>
        <v>-7341</v>
      </c>
      <c r="I7" s="55">
        <f t="shared" ref="I7:N7" si="1">-B7/B$6</f>
        <v>0.5301170694864048</v>
      </c>
      <c r="J7" s="55">
        <f t="shared" si="1"/>
        <v>0.54559879739435446</v>
      </c>
      <c r="K7" s="55">
        <f t="shared" si="1"/>
        <v>0.5465463108320251</v>
      </c>
      <c r="L7" s="55">
        <f t="shared" si="1"/>
        <v>0.53640813828973533</v>
      </c>
      <c r="M7" s="55">
        <f t="shared" si="1"/>
        <v>0.55318094968508957</v>
      </c>
      <c r="N7" s="55">
        <f t="shared" si="1"/>
        <v>0.54085316437044129</v>
      </c>
    </row>
    <row r="8" spans="1:14">
      <c r="A8" s="2" t="s">
        <v>20</v>
      </c>
      <c r="B8" s="9">
        <f t="shared" ref="B8" si="2">SUM(B6:B7)</f>
        <v>4977</v>
      </c>
      <c r="C8" s="9">
        <f t="shared" ref="C8:F8" si="3">SUM(C6:C7)</f>
        <v>5441</v>
      </c>
      <c r="D8" s="9">
        <f t="shared" si="3"/>
        <v>5777</v>
      </c>
      <c r="E8" s="9">
        <f t="shared" si="3"/>
        <v>6061</v>
      </c>
      <c r="F8" s="9">
        <f t="shared" si="3"/>
        <v>6314</v>
      </c>
      <c r="G8" s="9">
        <f t="shared" ref="G8" si="4">SUM(G6:G7)</f>
        <v>6232</v>
      </c>
      <c r="I8" s="36">
        <f t="shared" ref="I8:N8" si="5">B8/B$6</f>
        <v>0.46988293051359514</v>
      </c>
      <c r="J8" s="36">
        <f t="shared" si="5"/>
        <v>0.45440120260564554</v>
      </c>
      <c r="K8" s="36">
        <f t="shared" si="5"/>
        <v>0.4534536891679749</v>
      </c>
      <c r="L8" s="36">
        <f t="shared" si="5"/>
        <v>0.46359186171026467</v>
      </c>
      <c r="M8" s="36">
        <f t="shared" si="5"/>
        <v>0.44681905031491048</v>
      </c>
      <c r="N8" s="36">
        <f t="shared" si="5"/>
        <v>0.45914683562955866</v>
      </c>
    </row>
    <row r="9" spans="1:14">
      <c r="B9" s="9"/>
      <c r="C9" s="9"/>
      <c r="D9" s="9"/>
      <c r="E9" s="9"/>
      <c r="F9" s="9"/>
      <c r="G9" s="9"/>
      <c r="I9" s="36"/>
      <c r="J9" s="36"/>
      <c r="K9" s="36"/>
      <c r="L9" s="36"/>
      <c r="M9" s="36"/>
      <c r="N9" s="36"/>
    </row>
    <row r="10" spans="1:14" ht="17.25">
      <c r="A10" s="2" t="s">
        <v>159</v>
      </c>
      <c r="B10" s="9">
        <f>Financials!B10+Supplemental!K7</f>
        <v>-3156</v>
      </c>
      <c r="C10" s="9">
        <f>Financials!C10+Supplemental!L7</f>
        <v>-3409</v>
      </c>
      <c r="D10" s="9">
        <f>Financials!D10+Supplemental!M7</f>
        <v>-3650</v>
      </c>
      <c r="E10" s="9">
        <f>Financials!E10+Supplemental!N7</f>
        <v>-3748</v>
      </c>
      <c r="F10" s="9">
        <f>Financials!F10+Supplemental!O7</f>
        <v>-3882</v>
      </c>
      <c r="G10" s="9">
        <f>Financials!G10+Supplemental!P7</f>
        <v>-3874</v>
      </c>
      <c r="I10" s="36">
        <f t="shared" ref="I10:N12" si="6">-B10/B$6</f>
        <v>0.29796072507552868</v>
      </c>
      <c r="J10" s="36">
        <f t="shared" si="6"/>
        <v>0.28470018373141809</v>
      </c>
      <c r="K10" s="36">
        <f t="shared" si="6"/>
        <v>0.28649921507064363</v>
      </c>
      <c r="L10" s="36">
        <f t="shared" si="6"/>
        <v>0.28667584518892458</v>
      </c>
      <c r="M10" s="36">
        <f t="shared" si="6"/>
        <v>0.27471516523954426</v>
      </c>
      <c r="N10" s="36">
        <f t="shared" si="6"/>
        <v>0.28541958299565312</v>
      </c>
    </row>
    <row r="11" spans="1:14" ht="17.25">
      <c r="A11" s="2" t="s">
        <v>160</v>
      </c>
      <c r="B11" s="9">
        <f>Financials!B11+Supplemental!K8</f>
        <v>-272</v>
      </c>
      <c r="C11" s="9">
        <f>Financials!C11+Supplemental!L8</f>
        <v>-324</v>
      </c>
      <c r="D11" s="9">
        <f>Financials!D11+Supplemental!M8</f>
        <v>-340</v>
      </c>
      <c r="E11" s="9">
        <f>Financials!E11+Supplemental!N8</f>
        <v>-350</v>
      </c>
      <c r="F11" s="9">
        <f>Financials!F11+Supplemental!O8</f>
        <v>-377</v>
      </c>
      <c r="G11" s="9">
        <f>Financials!G11+Supplemental!P8</f>
        <v>-383</v>
      </c>
      <c r="I11" s="36">
        <f t="shared" si="6"/>
        <v>2.5679758308157101E-2</v>
      </c>
      <c r="J11" s="36">
        <f t="shared" si="6"/>
        <v>2.7058627025221313E-2</v>
      </c>
      <c r="K11" s="36">
        <f t="shared" si="6"/>
        <v>2.6687598116169546E-2</v>
      </c>
      <c r="L11" s="36">
        <f t="shared" si="6"/>
        <v>2.6770689918923053E-2</v>
      </c>
      <c r="M11" s="36">
        <f t="shared" si="6"/>
        <v>2.6678932842686291E-2</v>
      </c>
      <c r="N11" s="36">
        <f t="shared" si="6"/>
        <v>2.8217785309069477E-2</v>
      </c>
    </row>
    <row r="12" spans="1:14" ht="17.25">
      <c r="A12" s="11" t="s">
        <v>162</v>
      </c>
      <c r="B12" s="9">
        <f>Financials!B12+Supplemental!K9</f>
        <v>-570</v>
      </c>
      <c r="C12" s="9">
        <f>Financials!C12+Supplemental!L9</f>
        <v>-627</v>
      </c>
      <c r="D12" s="9">
        <f>Financials!D12+Supplemental!M9</f>
        <v>-697</v>
      </c>
      <c r="E12" s="9">
        <f>Financials!E12+Supplemental!N9</f>
        <v>-664</v>
      </c>
      <c r="F12" s="9">
        <f>Financials!F12+Supplemental!O9</f>
        <v>-698</v>
      </c>
      <c r="G12" s="9">
        <f>Financials!G12+Supplemental!P9</f>
        <v>-711</v>
      </c>
      <c r="H12" s="71"/>
      <c r="I12" s="36">
        <f t="shared" si="6"/>
        <v>5.3814199395770396E-2</v>
      </c>
      <c r="J12" s="36">
        <f t="shared" si="6"/>
        <v>5.2363454150659766E-2</v>
      </c>
      <c r="K12" s="36">
        <f t="shared" si="6"/>
        <v>5.4709576138147566E-2</v>
      </c>
      <c r="L12" s="36">
        <f t="shared" si="6"/>
        <v>5.0787823160471167E-2</v>
      </c>
      <c r="M12" s="36">
        <f t="shared" si="6"/>
        <v>4.9394947279031917E-2</v>
      </c>
      <c r="N12" s="36">
        <f t="shared" si="6"/>
        <v>5.2383408236940987E-2</v>
      </c>
    </row>
    <row r="13" spans="1:14">
      <c r="A13" s="43" t="s">
        <v>129</v>
      </c>
      <c r="B13" s="56">
        <f>Supplemental!B37</f>
        <v>19</v>
      </c>
      <c r="C13" s="56">
        <f>Supplemental!C37</f>
        <v>92</v>
      </c>
      <c r="D13" s="56">
        <f>Supplemental!D37</f>
        <v>118</v>
      </c>
      <c r="E13" s="56">
        <f>Supplemental!E37</f>
        <v>48</v>
      </c>
      <c r="F13" s="56">
        <f>Supplemental!F37</f>
        <v>84</v>
      </c>
      <c r="G13" s="56">
        <f>Supplemental!G37</f>
        <v>30</v>
      </c>
      <c r="I13" s="58">
        <f>B13/B$6</f>
        <v>1.7938066465256798E-3</v>
      </c>
      <c r="J13" s="58">
        <f t="shared" ref="J13:N14" si="7">C13/C$6</f>
        <v>7.6833138466677799E-3</v>
      </c>
      <c r="K13" s="58">
        <f t="shared" si="7"/>
        <v>9.2621664050235482E-3</v>
      </c>
      <c r="L13" s="58">
        <f t="shared" si="7"/>
        <v>3.6714089031665903E-3</v>
      </c>
      <c r="M13" s="58">
        <f t="shared" si="7"/>
        <v>5.944377609511004E-3</v>
      </c>
      <c r="N13" s="58">
        <f t="shared" si="7"/>
        <v>2.2102703897443456E-3</v>
      </c>
    </row>
    <row r="14" spans="1:14">
      <c r="A14" s="15" t="s">
        <v>158</v>
      </c>
      <c r="B14" s="28">
        <f>Supplemental!K20</f>
        <v>268</v>
      </c>
      <c r="C14" s="28">
        <f>Supplemental!L20</f>
        <v>49</v>
      </c>
      <c r="D14" s="28">
        <f>Supplemental!M20</f>
        <v>53</v>
      </c>
      <c r="E14" s="28">
        <f>Supplemental!N20</f>
        <v>56</v>
      </c>
      <c r="F14" s="28">
        <f>Supplemental!O20</f>
        <v>95</v>
      </c>
      <c r="G14" s="28">
        <f>Supplemental!P20</f>
        <v>108</v>
      </c>
      <c r="I14" s="55">
        <f>B14/B$6</f>
        <v>2.5302114803625379E-2</v>
      </c>
      <c r="J14" s="55">
        <f t="shared" si="7"/>
        <v>4.0921997661600134E-3</v>
      </c>
      <c r="K14" s="55">
        <f t="shared" si="7"/>
        <v>4.1601255886970171E-3</v>
      </c>
      <c r="L14" s="55">
        <f t="shared" si="7"/>
        <v>4.2833103870276888E-3</v>
      </c>
      <c r="M14" s="55">
        <f t="shared" si="7"/>
        <v>6.7228080107564932E-3</v>
      </c>
      <c r="N14" s="55">
        <f t="shared" si="7"/>
        <v>7.9569734030796434E-3</v>
      </c>
    </row>
    <row r="15" spans="1:14">
      <c r="A15" s="43" t="s">
        <v>209</v>
      </c>
      <c r="B15" s="9">
        <f t="shared" ref="B15:F15" si="8">SUM(B8:B14)</f>
        <v>1266</v>
      </c>
      <c r="C15" s="9">
        <f t="shared" si="8"/>
        <v>1222</v>
      </c>
      <c r="D15" s="9">
        <f t="shared" si="8"/>
        <v>1261</v>
      </c>
      <c r="E15" s="9">
        <f t="shared" si="8"/>
        <v>1403</v>
      </c>
      <c r="F15" s="9">
        <f t="shared" si="8"/>
        <v>1536</v>
      </c>
      <c r="G15" s="9">
        <f>SUM(G8:G14)</f>
        <v>1402</v>
      </c>
      <c r="I15" s="36">
        <f t="shared" ref="I15:N15" si="9">B15/B$6</f>
        <v>0.11952416918429003</v>
      </c>
      <c r="J15" s="36">
        <f t="shared" si="9"/>
        <v>0.10205445131117422</v>
      </c>
      <c r="K15" s="36">
        <f t="shared" si="9"/>
        <v>9.8979591836734687E-2</v>
      </c>
      <c r="L15" s="36">
        <f t="shared" si="9"/>
        <v>0.10731222273214013</v>
      </c>
      <c r="M15" s="36">
        <f t="shared" si="9"/>
        <v>0.10869719057391551</v>
      </c>
      <c r="N15" s="36">
        <f t="shared" si="9"/>
        <v>0.10329330288071907</v>
      </c>
    </row>
    <row r="16" spans="1:14">
      <c r="B16" s="9"/>
      <c r="C16" s="9"/>
      <c r="D16" s="9"/>
      <c r="E16" s="9"/>
      <c r="F16" s="9"/>
      <c r="G16" s="9"/>
      <c r="I16" s="36"/>
      <c r="J16" s="36"/>
      <c r="K16" s="36"/>
      <c r="L16" s="36"/>
      <c r="M16" s="36"/>
      <c r="N16" s="36"/>
    </row>
    <row r="17" spans="1:18">
      <c r="A17" s="2" t="s">
        <v>70</v>
      </c>
      <c r="B17" s="9">
        <f t="shared" ref="B17" si="10">-B26</f>
        <v>17.545549193128522</v>
      </c>
      <c r="C17" s="9">
        <f t="shared" ref="C17:G17" si="11">-C26</f>
        <v>-360.03454894433781</v>
      </c>
      <c r="D17" s="9">
        <f t="shared" si="11"/>
        <v>-376.97108843537416</v>
      </c>
      <c r="E17" s="9">
        <f t="shared" si="11"/>
        <v>-431.20000000000005</v>
      </c>
      <c r="F17" s="9">
        <f t="shared" si="11"/>
        <v>-479.81069452980944</v>
      </c>
      <c r="G17" s="9">
        <f t="shared" si="11"/>
        <v>-402.06553672316386</v>
      </c>
      <c r="I17" s="55">
        <f t="shared" ref="I17:N17" si="12">-B17/B15</f>
        <v>-1.3859043596468027E-2</v>
      </c>
      <c r="J17" s="55">
        <f t="shared" si="12"/>
        <v>0.29462729046181491</v>
      </c>
      <c r="K17" s="55">
        <f t="shared" si="12"/>
        <v>0.29894614467515795</v>
      </c>
      <c r="L17" s="55">
        <f t="shared" si="12"/>
        <v>0.30734141126158238</v>
      </c>
      <c r="M17" s="55">
        <f t="shared" si="12"/>
        <v>0.312376754251178</v>
      </c>
      <c r="N17" s="55">
        <f t="shared" si="12"/>
        <v>0.28677998339740646</v>
      </c>
    </row>
    <row r="18" spans="1:18" ht="15.75" thickBot="1">
      <c r="A18" s="16" t="s">
        <v>71</v>
      </c>
      <c r="B18" s="17">
        <f t="shared" ref="B18" si="13">B15+B17</f>
        <v>1283.5455491931284</v>
      </c>
      <c r="C18" s="17">
        <f t="shared" ref="C18:G18" si="14">C15+C17</f>
        <v>861.96545105566224</v>
      </c>
      <c r="D18" s="17">
        <f t="shared" si="14"/>
        <v>884.02891156462579</v>
      </c>
      <c r="E18" s="17">
        <f t="shared" si="14"/>
        <v>971.8</v>
      </c>
      <c r="F18" s="17">
        <f t="shared" si="14"/>
        <v>1056.1893054701904</v>
      </c>
      <c r="G18" s="17">
        <f t="shared" si="14"/>
        <v>999.93446327683614</v>
      </c>
      <c r="I18" s="42">
        <f t="shared" ref="I18:N18" si="15">B18/B$6</f>
        <v>0.12118065985584671</v>
      </c>
      <c r="J18" s="42">
        <f t="shared" si="15"/>
        <v>7.1986424841795738E-2</v>
      </c>
      <c r="K18" s="42">
        <f t="shared" si="15"/>
        <v>6.9390024455622118E-2</v>
      </c>
      <c r="L18" s="42">
        <f t="shared" si="15"/>
        <v>7.4330732752026923E-2</v>
      </c>
      <c r="M18" s="42">
        <f t="shared" si="15"/>
        <v>7.4742714986214029E-2</v>
      </c>
      <c r="N18" s="42">
        <f t="shared" si="15"/>
        <v>7.3670851195523177E-2</v>
      </c>
    </row>
    <row r="19" spans="1:18" ht="15.75" thickTop="1"/>
    <row r="21" spans="1:18">
      <c r="A21" s="3" t="s">
        <v>131</v>
      </c>
    </row>
    <row r="23" spans="1:18">
      <c r="A23" s="25" t="str">
        <f t="shared" ref="A23:G23" si="16">A5</f>
        <v>EUR millions</v>
      </c>
      <c r="B23" s="25">
        <f t="shared" ref="B23" si="17">B5</f>
        <v>2004</v>
      </c>
      <c r="C23" s="25">
        <f t="shared" si="16"/>
        <v>2005</v>
      </c>
      <c r="D23" s="25">
        <f t="shared" si="16"/>
        <v>2006</v>
      </c>
      <c r="E23" s="25">
        <f t="shared" si="16"/>
        <v>2007</v>
      </c>
      <c r="F23" s="25">
        <f t="shared" si="16"/>
        <v>2008</v>
      </c>
      <c r="G23" s="25">
        <f t="shared" si="16"/>
        <v>2009</v>
      </c>
      <c r="H23" s="14"/>
      <c r="I23" s="25">
        <f t="shared" ref="I23:N23" si="18">I5</f>
        <v>2004</v>
      </c>
      <c r="J23" s="25">
        <f t="shared" si="18"/>
        <v>2005</v>
      </c>
      <c r="K23" s="25">
        <f t="shared" si="18"/>
        <v>2006</v>
      </c>
      <c r="L23" s="25">
        <f t="shared" si="18"/>
        <v>2007</v>
      </c>
      <c r="M23" s="25">
        <f t="shared" si="18"/>
        <v>2008</v>
      </c>
      <c r="N23" s="25">
        <f t="shared" si="18"/>
        <v>2009</v>
      </c>
    </row>
    <row r="24" spans="1:18">
      <c r="A24" s="2" t="s">
        <v>210</v>
      </c>
      <c r="B24" s="9">
        <f>Taxes!K27*B15</f>
        <v>507.45445080687148</v>
      </c>
      <c r="C24" s="9">
        <f>Taxes!L27*C15</f>
        <v>489.03454894433781</v>
      </c>
      <c r="D24" s="9">
        <f>Taxes!M27*D15</f>
        <v>503.97108843537416</v>
      </c>
      <c r="E24" s="9">
        <f>Taxes!N27*E15</f>
        <v>561.20000000000005</v>
      </c>
      <c r="F24" s="9">
        <f>Taxes!O27*F15</f>
        <v>475.81069452980944</v>
      </c>
      <c r="G24" s="9">
        <f>Taxes!P27*G15</f>
        <v>434.06553672316386</v>
      </c>
      <c r="I24" s="36">
        <f>Taxes!K27</f>
        <v>0.40083289953149404</v>
      </c>
      <c r="J24" s="36">
        <f>Taxes!L27</f>
        <v>0.40019193857965452</v>
      </c>
      <c r="K24" s="36">
        <f>Taxes!M27</f>
        <v>0.39965986394557823</v>
      </c>
      <c r="L24" s="36">
        <f>Taxes!N27</f>
        <v>0.4</v>
      </c>
      <c r="M24" s="36">
        <f>Taxes!O27</f>
        <v>0.30977258758451137</v>
      </c>
      <c r="N24" s="36">
        <f>Taxes!P27</f>
        <v>0.30960451977401132</v>
      </c>
    </row>
    <row r="25" spans="1:18">
      <c r="A25" s="2" t="s">
        <v>125</v>
      </c>
      <c r="B25" s="9">
        <f>Taxes!B28</f>
        <v>-525</v>
      </c>
      <c r="C25" s="9">
        <f>Taxes!C28</f>
        <v>-129</v>
      </c>
      <c r="D25" s="9">
        <f>Taxes!D28</f>
        <v>-127</v>
      </c>
      <c r="E25" s="9">
        <f>Taxes!E28</f>
        <v>-130</v>
      </c>
      <c r="F25" s="9">
        <f>Taxes!F28</f>
        <v>4</v>
      </c>
      <c r="G25" s="9">
        <f>Taxes!G28</f>
        <v>-32</v>
      </c>
      <c r="I25" s="57">
        <f>I26-I24</f>
        <v>-0.41469194312796204</v>
      </c>
      <c r="J25" s="57">
        <f t="shared" ref="J25:N25" si="19">J26-J24</f>
        <v>-0.10556464811783961</v>
      </c>
      <c r="K25" s="57">
        <f t="shared" si="19"/>
        <v>-0.10071371927042028</v>
      </c>
      <c r="L25" s="57">
        <f t="shared" si="19"/>
        <v>-9.2658588738417647E-2</v>
      </c>
      <c r="M25" s="57">
        <f t="shared" si="19"/>
        <v>2.6041666666666297E-3</v>
      </c>
      <c r="N25" s="57">
        <f t="shared" si="19"/>
        <v>-2.2824536376604865E-2</v>
      </c>
    </row>
    <row r="26" spans="1:18" ht="15.75" thickBot="1">
      <c r="A26" s="16" t="s">
        <v>70</v>
      </c>
      <c r="B26" s="17">
        <f t="shared" ref="B26" si="20">SUM(B24:B25)</f>
        <v>-17.545549193128522</v>
      </c>
      <c r="C26" s="17">
        <f t="shared" ref="C26:G26" si="21">SUM(C24:C25)</f>
        <v>360.03454894433781</v>
      </c>
      <c r="D26" s="17">
        <f t="shared" si="21"/>
        <v>376.97108843537416</v>
      </c>
      <c r="E26" s="17">
        <f t="shared" si="21"/>
        <v>431.20000000000005</v>
      </c>
      <c r="F26" s="17">
        <f t="shared" si="21"/>
        <v>479.81069452980944</v>
      </c>
      <c r="G26" s="17">
        <f t="shared" si="21"/>
        <v>402.06553672316386</v>
      </c>
      <c r="I26" s="42">
        <f t="shared" ref="I26:N26" si="22">B26/B15</f>
        <v>-1.3859043596468027E-2</v>
      </c>
      <c r="J26" s="42">
        <f t="shared" si="22"/>
        <v>0.29462729046181491</v>
      </c>
      <c r="K26" s="42">
        <f t="shared" si="22"/>
        <v>0.29894614467515795</v>
      </c>
      <c r="L26" s="42">
        <f t="shared" si="22"/>
        <v>0.30734141126158238</v>
      </c>
      <c r="M26" s="42">
        <f t="shared" si="22"/>
        <v>0.312376754251178</v>
      </c>
      <c r="N26" s="42">
        <f t="shared" si="22"/>
        <v>0.28677998339740646</v>
      </c>
    </row>
    <row r="27" spans="1:18" ht="15.75" thickTop="1">
      <c r="A27" s="3"/>
    </row>
    <row r="28" spans="1:18">
      <c r="A28" s="3"/>
    </row>
    <row r="29" spans="1:18">
      <c r="A29" s="3" t="s">
        <v>184</v>
      </c>
      <c r="H29"/>
      <c r="I29"/>
      <c r="J29"/>
      <c r="K29"/>
      <c r="L29"/>
      <c r="M29"/>
      <c r="N29"/>
      <c r="O29"/>
    </row>
    <row r="30" spans="1:18">
      <c r="H30"/>
      <c r="I30"/>
      <c r="J30"/>
      <c r="K30"/>
      <c r="L30"/>
      <c r="M30"/>
      <c r="N30"/>
      <c r="O30"/>
      <c r="P30"/>
      <c r="Q30"/>
      <c r="R30"/>
    </row>
    <row r="31" spans="1:18">
      <c r="A31" s="4" t="str">
        <f>A5</f>
        <v>EUR millions</v>
      </c>
      <c r="B31" s="4">
        <f t="shared" ref="B31" si="23">B5</f>
        <v>2004</v>
      </c>
      <c r="C31" s="4">
        <f t="shared" ref="C31:F31" si="24">C5</f>
        <v>2005</v>
      </c>
      <c r="D31" s="4">
        <f t="shared" si="24"/>
        <v>2006</v>
      </c>
      <c r="E31" s="4">
        <f t="shared" si="24"/>
        <v>2007</v>
      </c>
      <c r="F31" s="4">
        <f t="shared" si="24"/>
        <v>2008</v>
      </c>
      <c r="G31" s="4">
        <f>G5</f>
        <v>2009</v>
      </c>
      <c r="H31"/>
      <c r="I31"/>
      <c r="J31"/>
      <c r="K31"/>
      <c r="L31"/>
      <c r="M31"/>
      <c r="N31"/>
      <c r="O31"/>
      <c r="P31"/>
      <c r="Q31"/>
      <c r="R31"/>
    </row>
    <row r="32" spans="1:18">
      <c r="A32" s="65" t="s">
        <v>28</v>
      </c>
      <c r="B32" s="73">
        <f>Financials!B22</f>
        <v>1736</v>
      </c>
      <c r="C32" s="73">
        <f>Financials!C22</f>
        <v>770</v>
      </c>
      <c r="D32" s="73">
        <f>Financials!D22</f>
        <v>871</v>
      </c>
      <c r="E32" s="73">
        <f>Financials!E22</f>
        <v>941</v>
      </c>
      <c r="F32" s="73">
        <f>Financials!F22</f>
        <v>1233</v>
      </c>
      <c r="G32" s="73">
        <f>Financials!G22</f>
        <v>628</v>
      </c>
      <c r="H32"/>
      <c r="I32"/>
      <c r="J32"/>
      <c r="K32"/>
      <c r="L32"/>
      <c r="M32"/>
      <c r="N32"/>
      <c r="O32"/>
      <c r="P32"/>
      <c r="Q32"/>
      <c r="R32"/>
    </row>
    <row r="33" spans="1:18">
      <c r="A33" s="11" t="s">
        <v>186</v>
      </c>
      <c r="B33" s="73">
        <f>Taxes!B29</f>
        <v>-59</v>
      </c>
      <c r="C33" s="73">
        <f>Taxes!C29</f>
        <v>-16</v>
      </c>
      <c r="D33" s="73">
        <f>Taxes!D29</f>
        <v>-38</v>
      </c>
      <c r="E33" s="73">
        <f>Taxes!E29</f>
        <v>-61</v>
      </c>
      <c r="F33" s="73">
        <f>Taxes!F29</f>
        <v>-114</v>
      </c>
      <c r="G33" s="73">
        <f>Taxes!G29</f>
        <v>15</v>
      </c>
      <c r="H33"/>
      <c r="I33"/>
      <c r="J33"/>
      <c r="K33"/>
      <c r="L33"/>
      <c r="M33"/>
      <c r="N33"/>
      <c r="O33"/>
      <c r="P33"/>
      <c r="Q33"/>
      <c r="R33"/>
    </row>
    <row r="34" spans="1:18">
      <c r="A34" s="2" t="s">
        <v>130</v>
      </c>
      <c r="B34" s="9">
        <f>(1-I$24)*Supplemental!K10</f>
        <v>0</v>
      </c>
      <c r="C34" s="9">
        <f>(1-J$24)*Supplemental!L10</f>
        <v>0</v>
      </c>
      <c r="D34" s="9">
        <f>(1-K$24)*Supplemental!M10</f>
        <v>0</v>
      </c>
      <c r="E34" s="9">
        <f>(1-L$24)*Supplemental!N10</f>
        <v>0</v>
      </c>
      <c r="F34" s="9">
        <f>(1-M$24)*Supplemental!O10</f>
        <v>457.62077443146893</v>
      </c>
      <c r="G34" s="9">
        <f>(1-N$24)*Supplemental!P10</f>
        <v>109.77288135593218</v>
      </c>
      <c r="H34"/>
      <c r="I34"/>
      <c r="J34"/>
      <c r="K34"/>
      <c r="L34"/>
      <c r="M34"/>
      <c r="N34"/>
      <c r="O34"/>
      <c r="P34"/>
      <c r="Q34"/>
      <c r="R34"/>
    </row>
    <row r="35" spans="1:18">
      <c r="A35" s="11" t="s">
        <v>195</v>
      </c>
      <c r="B35" s="73">
        <f>-(1-I$24)*Supplemental!B38</f>
        <v>118.63508589276418</v>
      </c>
      <c r="C35" s="73">
        <f>-(1-J$24)*Supplemental!C38</f>
        <v>6.5978886756238007</v>
      </c>
      <c r="D35" s="73">
        <f>-(1-K$24)*Supplemental!D38</f>
        <v>-54.030612244897966</v>
      </c>
      <c r="E35" s="73">
        <f>-(1-L$24)*Supplemental!E38</f>
        <v>1.7999999999999998</v>
      </c>
      <c r="F35" s="73">
        <f>-(1-M$24)*Supplemental!F38</f>
        <v>-0.69022741241548857</v>
      </c>
      <c r="G35" s="73">
        <f>-(1-N$24)*Supplemental!G38</f>
        <v>37.971751412429377</v>
      </c>
      <c r="H35"/>
      <c r="I35"/>
      <c r="J35"/>
      <c r="K35"/>
      <c r="L35"/>
      <c r="M35"/>
      <c r="N35"/>
      <c r="O35"/>
      <c r="P35"/>
      <c r="Q35"/>
      <c r="R35"/>
    </row>
    <row r="36" spans="1:18">
      <c r="A36" s="11" t="s">
        <v>98</v>
      </c>
      <c r="B36" s="73">
        <f>-(1-I$24)*Financials!B17</f>
        <v>-769.3305570015616</v>
      </c>
      <c r="C36" s="73">
        <f>-(1-J$24)*Financials!C17</f>
        <v>-53.982725527831093</v>
      </c>
      <c r="D36" s="73">
        <f>-(1-K$24)*Financials!D17</f>
        <v>-32.41836734693878</v>
      </c>
      <c r="E36" s="73">
        <f>-(1-L$24)*Financials!E17</f>
        <v>-50.4</v>
      </c>
      <c r="F36" s="73">
        <f>-(1-M$24)*Financials!F17</f>
        <v>-775.1253841425937</v>
      </c>
      <c r="G36" s="73">
        <f>-(1-N$24)*Financials!G17</f>
        <v>2.7615819209039545</v>
      </c>
      <c r="H36"/>
      <c r="I36"/>
      <c r="J36"/>
      <c r="K36"/>
      <c r="L36"/>
      <c r="M36"/>
      <c r="N36"/>
      <c r="O36"/>
      <c r="P36"/>
      <c r="Q36"/>
      <c r="R36"/>
    </row>
    <row r="37" spans="1:18">
      <c r="A37" s="11" t="s">
        <v>44</v>
      </c>
      <c r="B37" s="73">
        <f>-(1-I$24)*Financials!B18</f>
        <v>97.664237376366472</v>
      </c>
      <c r="C37" s="73">
        <f>-(1-J$24)*Financials!C18</f>
        <v>125.95969289827255</v>
      </c>
      <c r="D37" s="73">
        <f>-(1-K$24)*Financials!D18</f>
        <v>105.65986394557824</v>
      </c>
      <c r="E37" s="73">
        <f>-(1-L$24)*Financials!E18</f>
        <v>106.8</v>
      </c>
      <c r="F37" s="73">
        <f>-(1-M$24)*Financials!F18</f>
        <v>189.81253841425936</v>
      </c>
      <c r="G37" s="73">
        <f>-(1-N$24)*Financials!G18</f>
        <v>131.86553672316381</v>
      </c>
      <c r="H37" s="66"/>
      <c r="I37"/>
      <c r="J37"/>
      <c r="K37"/>
      <c r="L37"/>
      <c r="M37"/>
      <c r="N37"/>
      <c r="O37"/>
      <c r="P37"/>
      <c r="Q37"/>
      <c r="R37"/>
    </row>
    <row r="38" spans="1:18">
      <c r="A38" s="2" t="s">
        <v>211</v>
      </c>
      <c r="B38" s="9">
        <f t="shared" ref="B38:G38" si="25">(1-I$24)*B14</f>
        <v>160.5767829255596</v>
      </c>
      <c r="C38" s="9">
        <f t="shared" si="25"/>
        <v>29.390595009596929</v>
      </c>
      <c r="D38" s="9">
        <f t="shared" si="25"/>
        <v>31.818027210884356</v>
      </c>
      <c r="E38" s="9">
        <f t="shared" si="25"/>
        <v>33.6</v>
      </c>
      <c r="F38" s="9">
        <f t="shared" si="25"/>
        <v>65.571604179471422</v>
      </c>
      <c r="G38" s="9">
        <f t="shared" si="25"/>
        <v>74.562711864406765</v>
      </c>
      <c r="I38"/>
      <c r="J38"/>
      <c r="K38"/>
      <c r="L38"/>
      <c r="M38"/>
      <c r="N38"/>
      <c r="O38"/>
      <c r="P38"/>
      <c r="Q38"/>
      <c r="R38"/>
    </row>
    <row r="39" spans="1:18" ht="15.75" thickBot="1">
      <c r="A39" s="16" t="s">
        <v>71</v>
      </c>
      <c r="B39" s="72">
        <f t="shared" ref="B39:G39" si="26">SUM(B32:B38)</f>
        <v>1284.5455491931286</v>
      </c>
      <c r="C39" s="72">
        <f t="shared" si="26"/>
        <v>861.96545105566224</v>
      </c>
      <c r="D39" s="72">
        <f t="shared" si="26"/>
        <v>884.02891156462579</v>
      </c>
      <c r="E39" s="72">
        <f t="shared" si="26"/>
        <v>971.8</v>
      </c>
      <c r="F39" s="72">
        <f t="shared" si="26"/>
        <v>1056.1893054701904</v>
      </c>
      <c r="G39" s="72">
        <f t="shared" si="26"/>
        <v>999.93446327683614</v>
      </c>
      <c r="H39"/>
      <c r="I39"/>
      <c r="J39"/>
      <c r="K39"/>
      <c r="L39"/>
      <c r="M39"/>
      <c r="N39"/>
      <c r="O39"/>
      <c r="P39"/>
      <c r="Q39"/>
      <c r="R39"/>
    </row>
    <row r="40" spans="1:18" ht="15.75" thickTop="1">
      <c r="I40"/>
      <c r="J40"/>
      <c r="K40"/>
      <c r="L40"/>
      <c r="M40"/>
      <c r="N40"/>
      <c r="O40"/>
      <c r="P40"/>
      <c r="Q40"/>
      <c r="R40"/>
    </row>
    <row r="41" spans="1:18" ht="17.25">
      <c r="A41" s="69" t="s">
        <v>205</v>
      </c>
      <c r="I41"/>
      <c r="J41"/>
      <c r="K41"/>
      <c r="L41"/>
      <c r="M41"/>
      <c r="N41"/>
      <c r="O41"/>
      <c r="P41"/>
      <c r="Q41"/>
      <c r="R41"/>
    </row>
    <row r="42" spans="1:18">
      <c r="I42"/>
      <c r="J42"/>
      <c r="K42"/>
      <c r="L42"/>
      <c r="M42"/>
      <c r="N42"/>
      <c r="O42"/>
      <c r="P42"/>
      <c r="Q42"/>
      <c r="R42"/>
    </row>
    <row r="43" spans="1:18">
      <c r="I43"/>
      <c r="J43"/>
      <c r="K43"/>
      <c r="L43"/>
      <c r="M43"/>
      <c r="N43"/>
      <c r="O43"/>
      <c r="P43"/>
      <c r="Q43"/>
      <c r="R43"/>
    </row>
    <row r="44" spans="1:18">
      <c r="I44"/>
      <c r="J44"/>
      <c r="K44"/>
      <c r="L44"/>
      <c r="M44"/>
      <c r="N44"/>
      <c r="O44"/>
      <c r="P44"/>
      <c r="Q44"/>
      <c r="R44"/>
    </row>
    <row r="45" spans="1:18">
      <c r="I45"/>
      <c r="J45"/>
      <c r="K45"/>
      <c r="L45"/>
      <c r="M45"/>
      <c r="N45"/>
      <c r="O45"/>
      <c r="P45"/>
      <c r="Q45"/>
      <c r="R45"/>
    </row>
    <row r="46" spans="1:18">
      <c r="I46"/>
      <c r="J46"/>
      <c r="K46"/>
      <c r="L46"/>
      <c r="M46"/>
      <c r="N46"/>
      <c r="O46"/>
      <c r="P46"/>
      <c r="Q46"/>
      <c r="R46"/>
    </row>
    <row r="47" spans="1:18">
      <c r="I47"/>
      <c r="J47"/>
      <c r="K47"/>
      <c r="L47"/>
      <c r="M47"/>
      <c r="N47"/>
      <c r="O47"/>
      <c r="P47"/>
      <c r="Q47"/>
      <c r="R47"/>
    </row>
    <row r="48" spans="1:18">
      <c r="I48"/>
      <c r="J48"/>
      <c r="K48"/>
      <c r="L48"/>
      <c r="M48"/>
      <c r="N48"/>
      <c r="O48"/>
      <c r="P48"/>
      <c r="Q48"/>
      <c r="R48"/>
    </row>
    <row r="49" spans="9:18">
      <c r="I49"/>
      <c r="J49"/>
      <c r="K49"/>
      <c r="L49"/>
      <c r="M49"/>
      <c r="N49"/>
      <c r="O49"/>
      <c r="P49"/>
      <c r="Q49"/>
      <c r="R49"/>
    </row>
    <row r="50" spans="9:18">
      <c r="I50"/>
      <c r="J50"/>
      <c r="K50"/>
      <c r="L50"/>
      <c r="M50"/>
      <c r="N50"/>
      <c r="O50"/>
      <c r="P50"/>
      <c r="Q50"/>
      <c r="R50"/>
    </row>
    <row r="51" spans="9:18">
      <c r="K51"/>
      <c r="L51"/>
      <c r="M51"/>
      <c r="N51"/>
      <c r="O51"/>
      <c r="P51"/>
      <c r="Q51"/>
      <c r="R51"/>
    </row>
    <row r="52" spans="9:18">
      <c r="K52"/>
      <c r="L52"/>
      <c r="M52"/>
      <c r="N52"/>
      <c r="O52"/>
      <c r="P52"/>
      <c r="Q52"/>
      <c r="R52"/>
    </row>
    <row r="53" spans="9:18">
      <c r="O53"/>
      <c r="P53"/>
      <c r="Q53"/>
      <c r="R53"/>
    </row>
    <row r="54" spans="9:18">
      <c r="O54"/>
      <c r="P54"/>
      <c r="Q54"/>
      <c r="R54"/>
    </row>
  </sheetData>
  <pageMargins left="0.7" right="0.7" top="0.75" bottom="0.75" header="0.3" footer="0.3"/>
  <pageSetup scale="70" orientation="landscape" r:id="rId1"/>
  <headerFooter>
    <oddHeader>&amp;C&amp;"Calibri,Bold"&amp;12Henkel AG
NOPLAT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2:Q39"/>
  <sheetViews>
    <sheetView zoomScale="85" zoomScaleNormal="85" zoomScalePageLayoutView="75" workbookViewId="0">
      <selection activeCell="A2" sqref="A2"/>
    </sheetView>
  </sheetViews>
  <sheetFormatPr defaultColWidth="8.85546875" defaultRowHeight="13.5" customHeight="1" outlineLevelCol="1"/>
  <cols>
    <col min="1" max="1" width="43.28515625" style="2" customWidth="1"/>
    <col min="2" max="2" width="7.85546875" style="2" hidden="1" customWidth="1" outlineLevel="1"/>
    <col min="3" max="3" width="7.85546875" style="2" customWidth="1" collapsed="1"/>
    <col min="4" max="7" width="7.85546875" style="2" customWidth="1"/>
    <col min="8" max="8" width="11.28515625" style="2" customWidth="1"/>
    <col min="9" max="9" width="9.7109375" style="2" customWidth="1"/>
    <col min="10" max="10" width="44.5703125" style="2" customWidth="1"/>
    <col min="11" max="11" width="7.85546875" style="2" hidden="1" customWidth="1" outlineLevel="1"/>
    <col min="12" max="12" width="7.85546875" style="2" customWidth="1" collapsed="1"/>
    <col min="13" max="16" width="7.85546875" style="2" customWidth="1"/>
    <col min="17" max="17" width="11.140625" style="2" customWidth="1"/>
    <col min="18" max="16384" width="8.85546875" style="2"/>
  </cols>
  <sheetData>
    <row r="2" spans="1:17" ht="13.5" customHeight="1">
      <c r="A2" s="3" t="str">
        <f>company_name</f>
        <v>Henkel AG</v>
      </c>
      <c r="J2" s="3" t="str">
        <f>company_name</f>
        <v>Henkel AG</v>
      </c>
    </row>
    <row r="3" spans="1:17" ht="13.5" customHeight="1">
      <c r="A3" s="2" t="s">
        <v>123</v>
      </c>
      <c r="J3" s="2" t="s">
        <v>123</v>
      </c>
    </row>
    <row r="4" spans="1:17" ht="13.5" customHeight="1">
      <c r="A4" s="11"/>
    </row>
    <row r="5" spans="1:17" ht="13.5" customHeight="1">
      <c r="A5" s="4" t="s">
        <v>45</v>
      </c>
      <c r="B5" s="4">
        <v>2004</v>
      </c>
      <c r="C5" s="4">
        <v>2005</v>
      </c>
      <c r="D5" s="4">
        <f>C5+1</f>
        <v>2006</v>
      </c>
      <c r="E5" s="4">
        <f>D5+1</f>
        <v>2007</v>
      </c>
      <c r="F5" s="4">
        <f>E5+1</f>
        <v>2008</v>
      </c>
      <c r="G5" s="4">
        <f>F5+1</f>
        <v>2009</v>
      </c>
      <c r="H5" s="45" t="s">
        <v>115</v>
      </c>
      <c r="J5" s="4" t="s">
        <v>62</v>
      </c>
      <c r="K5" s="4">
        <v>2004</v>
      </c>
      <c r="L5" s="4">
        <v>2005</v>
      </c>
      <c r="M5" s="4">
        <f>L5+1</f>
        <v>2006</v>
      </c>
      <c r="N5" s="4">
        <f>M5+1</f>
        <v>2007</v>
      </c>
      <c r="O5" s="4">
        <f>N5+1</f>
        <v>2008</v>
      </c>
      <c r="P5" s="4">
        <f>O5+1</f>
        <v>2009</v>
      </c>
      <c r="Q5" s="45" t="s">
        <v>116</v>
      </c>
    </row>
    <row r="6" spans="1:17" ht="13.5" customHeight="1">
      <c r="A6" s="14" t="s">
        <v>114</v>
      </c>
      <c r="B6" s="5">
        <v>770</v>
      </c>
      <c r="C6" s="5">
        <v>417</v>
      </c>
      <c r="D6" s="5">
        <v>470</v>
      </c>
      <c r="E6" s="5">
        <v>500</v>
      </c>
      <c r="F6" s="5">
        <v>504</v>
      </c>
      <c r="G6" s="5">
        <v>274</v>
      </c>
      <c r="H6" s="46" t="s">
        <v>124</v>
      </c>
      <c r="J6" s="2" t="str">
        <f>A6</f>
        <v>Taxes at statutory tax rate</v>
      </c>
      <c r="K6" s="36">
        <f t="shared" ref="K6:O18" si="0">B6/B$20</f>
        <v>0.40083289953149404</v>
      </c>
      <c r="L6" s="36">
        <f t="shared" si="0"/>
        <v>0.40019193857965452</v>
      </c>
      <c r="M6" s="36">
        <f t="shared" si="0"/>
        <v>0.39965986394557823</v>
      </c>
      <c r="N6" s="36">
        <f t="shared" si="0"/>
        <v>0.4</v>
      </c>
      <c r="O6" s="36">
        <f t="shared" si="0"/>
        <v>0.30977258758451137</v>
      </c>
      <c r="P6" s="36">
        <f>G6/G$20</f>
        <v>0.30960451977401132</v>
      </c>
      <c r="Q6" s="47" t="s">
        <v>124</v>
      </c>
    </row>
    <row r="7" spans="1:17" ht="13.5" customHeight="1">
      <c r="A7" s="14" t="s">
        <v>141</v>
      </c>
      <c r="B7" s="5">
        <v>-83</v>
      </c>
      <c r="C7" s="5">
        <v>-68</v>
      </c>
      <c r="D7" s="5">
        <v>-139</v>
      </c>
      <c r="E7" s="5">
        <v>-153</v>
      </c>
      <c r="F7" s="5">
        <v>-26</v>
      </c>
      <c r="G7" s="5">
        <v>-70</v>
      </c>
      <c r="H7" s="46" t="s">
        <v>124</v>
      </c>
      <c r="J7" s="2" t="str">
        <f t="shared" ref="J7:J17" si="1">A7</f>
        <v>Difference between local and domestic taxes</v>
      </c>
      <c r="K7" s="36">
        <f t="shared" si="0"/>
        <v>-4.3206663196251952E-2</v>
      </c>
      <c r="L7" s="36">
        <f t="shared" si="0"/>
        <v>-6.5259117082533583E-2</v>
      </c>
      <c r="M7" s="36">
        <f t="shared" si="0"/>
        <v>-0.11819727891156463</v>
      </c>
      <c r="N7" s="36">
        <f t="shared" si="0"/>
        <v>-0.12239999999999999</v>
      </c>
      <c r="O7" s="36">
        <f t="shared" si="0"/>
        <v>-1.5980331899200985E-2</v>
      </c>
      <c r="P7" s="36">
        <f t="shared" ref="P7:P17" si="2">G7/G$20</f>
        <v>-7.909604519774012E-2</v>
      </c>
      <c r="Q7" s="48"/>
    </row>
    <row r="8" spans="1:17" ht="13.5" customHeight="1">
      <c r="A8" s="14" t="s">
        <v>136</v>
      </c>
      <c r="B8" s="5">
        <v>0</v>
      </c>
      <c r="C8" s="5">
        <v>-2</v>
      </c>
      <c r="D8" s="5">
        <v>-30</v>
      </c>
      <c r="E8" s="5">
        <v>-46</v>
      </c>
      <c r="F8" s="5">
        <v>-61</v>
      </c>
      <c r="G8" s="5">
        <v>7</v>
      </c>
      <c r="H8" s="46"/>
      <c r="J8" s="2" t="str">
        <f t="shared" si="1"/>
        <v>Tax increases/reductions for prior years</v>
      </c>
      <c r="K8" s="36">
        <f t="shared" si="0"/>
        <v>0</v>
      </c>
      <c r="L8" s="36">
        <f t="shared" si="0"/>
        <v>-1.9193857965451055E-3</v>
      </c>
      <c r="M8" s="36">
        <f t="shared" si="0"/>
        <v>-2.5510204081632654E-2</v>
      </c>
      <c r="N8" s="36">
        <f t="shared" si="0"/>
        <v>-3.6799999999999999E-2</v>
      </c>
      <c r="O8" s="36">
        <f t="shared" si="0"/>
        <v>-3.7492317148125384E-2</v>
      </c>
      <c r="P8" s="36">
        <f t="shared" si="2"/>
        <v>7.9096045197740109E-3</v>
      </c>
      <c r="Q8" s="48"/>
    </row>
    <row r="9" spans="1:17" ht="13.5" customHeight="1">
      <c r="A9" s="14" t="s">
        <v>128</v>
      </c>
      <c r="B9" s="5">
        <v>0</v>
      </c>
      <c r="C9" s="5">
        <v>0</v>
      </c>
      <c r="D9" s="5">
        <v>0</v>
      </c>
      <c r="E9" s="5">
        <v>-13</v>
      </c>
      <c r="F9" s="5">
        <v>5</v>
      </c>
      <c r="G9" s="5">
        <v>3</v>
      </c>
      <c r="H9" s="46"/>
      <c r="J9" s="2" t="str">
        <f t="shared" si="1"/>
        <v>Taxes due to tax rate changes</v>
      </c>
      <c r="K9" s="36">
        <f t="shared" si="0"/>
        <v>0</v>
      </c>
      <c r="L9" s="36">
        <f t="shared" si="0"/>
        <v>0</v>
      </c>
      <c r="M9" s="36">
        <f t="shared" si="0"/>
        <v>0</v>
      </c>
      <c r="N9" s="36">
        <f t="shared" si="0"/>
        <v>-1.04E-2</v>
      </c>
      <c r="O9" s="36">
        <f t="shared" si="0"/>
        <v>3.0731407498463428E-3</v>
      </c>
      <c r="P9" s="36">
        <f t="shared" si="2"/>
        <v>3.3898305084745762E-3</v>
      </c>
      <c r="Q9" s="48"/>
    </row>
    <row r="10" spans="1:17" ht="13.5" customHeight="1">
      <c r="A10" s="14" t="s">
        <v>142</v>
      </c>
      <c r="B10" s="5"/>
      <c r="C10" s="5">
        <v>13</v>
      </c>
      <c r="D10" s="5">
        <v>22</v>
      </c>
      <c r="E10" s="5">
        <v>32</v>
      </c>
      <c r="F10" s="5">
        <v>10</v>
      </c>
      <c r="G10" s="5">
        <v>-9</v>
      </c>
      <c r="H10" s="46"/>
      <c r="J10" s="2" t="str">
        <f t="shared" si="1"/>
        <v>Non-deductible losses</v>
      </c>
      <c r="K10" s="36">
        <f t="shared" si="0"/>
        <v>0</v>
      </c>
      <c r="L10" s="36">
        <f t="shared" si="0"/>
        <v>1.2476007677543186E-2</v>
      </c>
      <c r="M10" s="36">
        <f t="shared" si="0"/>
        <v>1.8707482993197279E-2</v>
      </c>
      <c r="N10" s="36">
        <f t="shared" si="0"/>
        <v>2.5600000000000001E-2</v>
      </c>
      <c r="O10" s="36">
        <f t="shared" si="0"/>
        <v>6.1462814996926856E-3</v>
      </c>
      <c r="P10" s="36">
        <f t="shared" si="2"/>
        <v>-1.0169491525423728E-2</v>
      </c>
      <c r="Q10" s="48"/>
    </row>
    <row r="11" spans="1:17" ht="13.5" customHeight="1">
      <c r="A11" s="14" t="s">
        <v>61</v>
      </c>
      <c r="B11" s="5">
        <v>-59</v>
      </c>
      <c r="C11" s="5">
        <v>-27</v>
      </c>
      <c r="D11" s="5">
        <v>-30</v>
      </c>
      <c r="E11" s="5">
        <v>-34</v>
      </c>
      <c r="F11" s="5">
        <v>-25</v>
      </c>
      <c r="G11" s="5">
        <v>0</v>
      </c>
      <c r="H11" s="46"/>
      <c r="J11" s="2" t="str">
        <f t="shared" si="1"/>
        <v>Tax rates on investments</v>
      </c>
      <c r="K11" s="36">
        <f t="shared" si="0"/>
        <v>-3.0713170223841749E-2</v>
      </c>
      <c r="L11" s="36">
        <f t="shared" si="0"/>
        <v>-2.5911708253358926E-2</v>
      </c>
      <c r="M11" s="36">
        <f t="shared" si="0"/>
        <v>-2.5510204081632654E-2</v>
      </c>
      <c r="N11" s="36">
        <f t="shared" si="0"/>
        <v>-2.7199999999999998E-2</v>
      </c>
      <c r="O11" s="36">
        <f t="shared" si="0"/>
        <v>-1.5365703749231715E-2</v>
      </c>
      <c r="P11" s="36">
        <f t="shared" si="2"/>
        <v>0</v>
      </c>
      <c r="Q11" s="48"/>
    </row>
    <row r="12" spans="1:17" ht="13.5" customHeight="1">
      <c r="A12" s="14" t="s">
        <v>77</v>
      </c>
      <c r="B12" s="5">
        <v>-809</v>
      </c>
      <c r="C12" s="5">
        <v>-107</v>
      </c>
      <c r="D12" s="5">
        <v>-47</v>
      </c>
      <c r="E12" s="5">
        <v>-25</v>
      </c>
      <c r="F12" s="5">
        <v>-22</v>
      </c>
      <c r="G12" s="5">
        <v>-22</v>
      </c>
      <c r="H12" s="46" t="s">
        <v>124</v>
      </c>
      <c r="J12" s="2" t="str">
        <f t="shared" si="1"/>
        <v>Tax free income</v>
      </c>
      <c r="K12" s="36">
        <f t="shared" si="0"/>
        <v>-0.4211348256116606</v>
      </c>
      <c r="L12" s="36">
        <f t="shared" si="0"/>
        <v>-0.10268714011516315</v>
      </c>
      <c r="M12" s="36">
        <f t="shared" si="0"/>
        <v>-3.9965986394557826E-2</v>
      </c>
      <c r="N12" s="36">
        <f t="shared" si="0"/>
        <v>-0.02</v>
      </c>
      <c r="O12" s="36">
        <f t="shared" si="0"/>
        <v>-1.3521819299323909E-2</v>
      </c>
      <c r="P12" s="36">
        <f t="shared" si="2"/>
        <v>-2.4858757062146894E-2</v>
      </c>
      <c r="Q12" s="48"/>
    </row>
    <row r="13" spans="1:17" ht="13.5" customHeight="1">
      <c r="A13" s="14" t="s">
        <v>137</v>
      </c>
      <c r="B13" s="5"/>
      <c r="C13" s="5"/>
      <c r="D13" s="5">
        <v>0</v>
      </c>
      <c r="E13" s="5">
        <v>0</v>
      </c>
      <c r="F13" s="5">
        <v>0</v>
      </c>
      <c r="G13" s="5">
        <v>14</v>
      </c>
      <c r="H13" s="46"/>
      <c r="J13" s="2" t="str">
        <f t="shared" si="1"/>
        <v>Write-down of intangible assets</v>
      </c>
      <c r="K13" s="36">
        <f t="shared" si="0"/>
        <v>0</v>
      </c>
      <c r="L13" s="36">
        <f t="shared" si="0"/>
        <v>0</v>
      </c>
      <c r="M13" s="36">
        <f t="shared" si="0"/>
        <v>0</v>
      </c>
      <c r="N13" s="36">
        <f t="shared" si="0"/>
        <v>0</v>
      </c>
      <c r="O13" s="36">
        <f t="shared" si="0"/>
        <v>0</v>
      </c>
      <c r="P13" s="36">
        <f t="shared" si="2"/>
        <v>1.5819209039548022E-2</v>
      </c>
      <c r="Q13" s="48"/>
    </row>
    <row r="14" spans="1:17" ht="13.5" customHeight="1">
      <c r="A14" s="14" t="s">
        <v>138</v>
      </c>
      <c r="B14" s="5"/>
      <c r="C14" s="5">
        <v>27</v>
      </c>
      <c r="D14" s="5">
        <v>38</v>
      </c>
      <c r="E14" s="5">
        <v>12</v>
      </c>
      <c r="F14" s="5">
        <v>28</v>
      </c>
      <c r="G14" s="5">
        <v>13</v>
      </c>
      <c r="H14" s="46" t="s">
        <v>124</v>
      </c>
      <c r="J14" s="2" t="str">
        <f t="shared" si="1"/>
        <v>Trade tax additions</v>
      </c>
      <c r="K14" s="36">
        <f t="shared" si="0"/>
        <v>0</v>
      </c>
      <c r="L14" s="36">
        <f t="shared" si="0"/>
        <v>2.5911708253358926E-2</v>
      </c>
      <c r="M14" s="36">
        <f t="shared" si="0"/>
        <v>3.2312925170068028E-2</v>
      </c>
      <c r="N14" s="36">
        <f t="shared" si="0"/>
        <v>9.5999999999999992E-3</v>
      </c>
      <c r="O14" s="36">
        <f t="shared" si="0"/>
        <v>1.7209588199139522E-2</v>
      </c>
      <c r="P14" s="36">
        <f t="shared" si="2"/>
        <v>1.4689265536723164E-2</v>
      </c>
      <c r="Q14" s="48"/>
    </row>
    <row r="15" spans="1:17" ht="13.5" customHeight="1">
      <c r="A15" s="14" t="s">
        <v>139</v>
      </c>
      <c r="B15" s="5"/>
      <c r="C15" s="5">
        <v>8</v>
      </c>
      <c r="D15" s="5">
        <v>17</v>
      </c>
      <c r="E15" s="5">
        <v>4</v>
      </c>
      <c r="F15" s="5">
        <v>10</v>
      </c>
      <c r="G15" s="5">
        <v>14</v>
      </c>
      <c r="H15" s="46" t="s">
        <v>124</v>
      </c>
      <c r="J15" s="2" t="str">
        <f t="shared" si="1"/>
        <v>Non-deductible withholding tax</v>
      </c>
      <c r="K15" s="36">
        <f t="shared" si="0"/>
        <v>0</v>
      </c>
      <c r="L15" s="36">
        <f t="shared" si="0"/>
        <v>7.677543186180422E-3</v>
      </c>
      <c r="M15" s="36">
        <f t="shared" si="0"/>
        <v>1.4455782312925171E-2</v>
      </c>
      <c r="N15" s="36">
        <f t="shared" si="0"/>
        <v>3.2000000000000002E-3</v>
      </c>
      <c r="O15" s="36">
        <f t="shared" si="0"/>
        <v>6.1462814996926856E-3</v>
      </c>
      <c r="P15" s="36">
        <f t="shared" si="2"/>
        <v>1.5819209039548022E-2</v>
      </c>
      <c r="Q15" s="48"/>
    </row>
    <row r="16" spans="1:17" ht="13.5" customHeight="1">
      <c r="A16" s="14" t="s">
        <v>140</v>
      </c>
      <c r="B16" s="5">
        <f>128+239</f>
        <v>367</v>
      </c>
      <c r="C16" s="5">
        <v>11</v>
      </c>
      <c r="D16" s="5">
        <v>4</v>
      </c>
      <c r="E16" s="5">
        <v>32</v>
      </c>
      <c r="F16" s="5">
        <v>14</v>
      </c>
      <c r="G16" s="5">
        <v>33</v>
      </c>
      <c r="H16" s="46" t="s">
        <v>124</v>
      </c>
      <c r="J16" s="2" t="str">
        <f t="shared" si="1"/>
        <v>Other non-deductible expenses</v>
      </c>
      <c r="K16" s="36">
        <f t="shared" si="0"/>
        <v>0.19104633003643937</v>
      </c>
      <c r="L16" s="36">
        <f t="shared" si="0"/>
        <v>1.055662188099808E-2</v>
      </c>
      <c r="M16" s="36">
        <f t="shared" si="0"/>
        <v>3.4013605442176869E-3</v>
      </c>
      <c r="N16" s="36">
        <f t="shared" si="0"/>
        <v>2.5600000000000001E-2</v>
      </c>
      <c r="O16" s="36">
        <f t="shared" si="0"/>
        <v>8.6047940995697611E-3</v>
      </c>
      <c r="P16" s="36">
        <f t="shared" si="2"/>
        <v>3.7288135593220341E-2</v>
      </c>
      <c r="Q16" s="48"/>
    </row>
    <row r="17" spans="1:17" ht="13.5" customHeight="1">
      <c r="A17" s="14" t="s">
        <v>143</v>
      </c>
      <c r="B17" s="5">
        <v>0</v>
      </c>
      <c r="C17" s="5">
        <v>0</v>
      </c>
      <c r="D17" s="5">
        <v>0</v>
      </c>
      <c r="E17" s="5">
        <v>0</v>
      </c>
      <c r="F17" s="5">
        <v>-43</v>
      </c>
      <c r="G17" s="5">
        <v>0</v>
      </c>
      <c r="H17" s="46"/>
      <c r="J17" s="2" t="str">
        <f t="shared" si="1"/>
        <v>Write-down of Ecolab sale</v>
      </c>
      <c r="K17" s="36">
        <f t="shared" si="0"/>
        <v>0</v>
      </c>
      <c r="L17" s="36">
        <f t="shared" si="0"/>
        <v>0</v>
      </c>
      <c r="M17" s="36">
        <f t="shared" si="0"/>
        <v>0</v>
      </c>
      <c r="N17" s="36">
        <f t="shared" si="0"/>
        <v>0</v>
      </c>
      <c r="O17" s="36">
        <f t="shared" si="0"/>
        <v>-2.6429010448678548E-2</v>
      </c>
      <c r="P17" s="36">
        <f t="shared" si="2"/>
        <v>0</v>
      </c>
      <c r="Q17" s="48"/>
    </row>
    <row r="18" spans="1:17" ht="13.5" customHeight="1" thickBot="1">
      <c r="A18" s="49" t="s">
        <v>78</v>
      </c>
      <c r="B18" s="41">
        <f t="shared" ref="B18:G18" si="3">SUM(B6:B17)</f>
        <v>186</v>
      </c>
      <c r="C18" s="41">
        <f t="shared" si="3"/>
        <v>272</v>
      </c>
      <c r="D18" s="41">
        <f t="shared" si="3"/>
        <v>305</v>
      </c>
      <c r="E18" s="41">
        <f t="shared" si="3"/>
        <v>309</v>
      </c>
      <c r="F18" s="41">
        <f t="shared" si="3"/>
        <v>394</v>
      </c>
      <c r="G18" s="41">
        <f t="shared" si="3"/>
        <v>257</v>
      </c>
      <c r="H18" s="50"/>
      <c r="J18" s="16" t="s">
        <v>78</v>
      </c>
      <c r="K18" s="42">
        <f t="shared" si="0"/>
        <v>9.6824570536179072E-2</v>
      </c>
      <c r="L18" s="42">
        <f t="shared" si="0"/>
        <v>0.26103646833013433</v>
      </c>
      <c r="M18" s="42">
        <f t="shared" si="0"/>
        <v>0.25935374149659862</v>
      </c>
      <c r="N18" s="42">
        <f t="shared" si="0"/>
        <v>0.2472</v>
      </c>
      <c r="O18" s="42">
        <f t="shared" si="0"/>
        <v>0.24216349108789181</v>
      </c>
      <c r="P18" s="42">
        <f>G18/G$20</f>
        <v>0.29039548022598871</v>
      </c>
      <c r="Q18" s="48"/>
    </row>
    <row r="19" spans="1:17" ht="13.5" customHeight="1" thickTop="1">
      <c r="B19" s="9"/>
      <c r="C19" s="9"/>
      <c r="D19" s="9"/>
      <c r="E19" s="9"/>
      <c r="F19" s="9"/>
      <c r="G19" s="9"/>
      <c r="H19" s="51"/>
    </row>
    <row r="20" spans="1:17" ht="13.5" customHeight="1">
      <c r="A20" s="2" t="s">
        <v>79</v>
      </c>
      <c r="B20" s="9">
        <f>Financials!B19</f>
        <v>1921</v>
      </c>
      <c r="C20" s="9">
        <f>Financials!C19</f>
        <v>1042</v>
      </c>
      <c r="D20" s="9">
        <f>Financials!D19</f>
        <v>1176</v>
      </c>
      <c r="E20" s="9">
        <f>Financials!E19</f>
        <v>1250</v>
      </c>
      <c r="F20" s="9">
        <f>Financials!F19</f>
        <v>1627</v>
      </c>
      <c r="G20" s="9">
        <f>Financials!G19</f>
        <v>885</v>
      </c>
      <c r="H20" s="52"/>
      <c r="O20" s="53"/>
    </row>
    <row r="22" spans="1:17" ht="13.5" customHeight="1">
      <c r="C22" s="5"/>
      <c r="D22" s="5"/>
      <c r="E22" s="5"/>
      <c r="F22" s="5"/>
    </row>
    <row r="23" spans="1:17" ht="13.5" customHeight="1">
      <c r="A23" s="3" t="str">
        <f>company_name</f>
        <v>Henkel AG</v>
      </c>
      <c r="J23" s="3" t="str">
        <f>company_name</f>
        <v>Henkel AG</v>
      </c>
    </row>
    <row r="24" spans="1:17" ht="13.5" customHeight="1">
      <c r="A24" s="2" t="s">
        <v>118</v>
      </c>
      <c r="J24" s="2" t="s">
        <v>121</v>
      </c>
    </row>
    <row r="26" spans="1:17" ht="13.5" customHeight="1">
      <c r="A26" s="4" t="s">
        <v>45</v>
      </c>
      <c r="B26" s="4">
        <v>2004</v>
      </c>
      <c r="C26" s="4">
        <v>2005</v>
      </c>
      <c r="D26" s="4">
        <f>C26+1</f>
        <v>2006</v>
      </c>
      <c r="E26" s="4">
        <f>D26+1</f>
        <v>2007</v>
      </c>
      <c r="F26" s="4">
        <f>E26+1</f>
        <v>2008</v>
      </c>
      <c r="G26" s="4">
        <f>F26+1</f>
        <v>2009</v>
      </c>
      <c r="J26" s="4" t="s">
        <v>62</v>
      </c>
      <c r="K26" s="4">
        <v>2004</v>
      </c>
      <c r="L26" s="4">
        <v>2005</v>
      </c>
      <c r="M26" s="4">
        <f>L26+1</f>
        <v>2006</v>
      </c>
      <c r="N26" s="4">
        <f>M26+1</f>
        <v>2007</v>
      </c>
      <c r="O26" s="4">
        <f>N26+1</f>
        <v>2008</v>
      </c>
      <c r="P26" s="4">
        <f>O26+1</f>
        <v>2009</v>
      </c>
    </row>
    <row r="27" spans="1:17" ht="13.5" customHeight="1">
      <c r="A27" s="2" t="s">
        <v>117</v>
      </c>
      <c r="B27" s="9">
        <f t="shared" ref="B27:G27" si="4">SUMIF($Q$6:$Q$17, "=yes", B6:B17)</f>
        <v>770</v>
      </c>
      <c r="C27" s="9">
        <f t="shared" si="4"/>
        <v>417</v>
      </c>
      <c r="D27" s="9">
        <f t="shared" si="4"/>
        <v>470</v>
      </c>
      <c r="E27" s="9">
        <f t="shared" si="4"/>
        <v>500</v>
      </c>
      <c r="F27" s="9">
        <f t="shared" si="4"/>
        <v>504</v>
      </c>
      <c r="G27" s="9">
        <f t="shared" si="4"/>
        <v>274</v>
      </c>
      <c r="J27" s="2" t="s">
        <v>63</v>
      </c>
      <c r="K27" s="36">
        <f t="shared" ref="K27:P27" si="5">SUMIF($Q$6:$Q$17, "=yes", K6:K17)</f>
        <v>0.40083289953149404</v>
      </c>
      <c r="L27" s="36">
        <f t="shared" si="5"/>
        <v>0.40019193857965452</v>
      </c>
      <c r="M27" s="36">
        <f t="shared" si="5"/>
        <v>0.39965986394557823</v>
      </c>
      <c r="N27" s="36">
        <f t="shared" si="5"/>
        <v>0.4</v>
      </c>
      <c r="O27" s="36">
        <f t="shared" si="5"/>
        <v>0.30977258758451137</v>
      </c>
      <c r="P27" s="36">
        <f t="shared" si="5"/>
        <v>0.30960451977401132</v>
      </c>
    </row>
    <row r="28" spans="1:17" ht="13.5" customHeight="1">
      <c r="A28" s="2" t="s">
        <v>115</v>
      </c>
      <c r="B28" s="9">
        <f t="shared" ref="B28:G28" si="6">SUMIF($H$6:$H$17, "=yes", B6:B17) - SUMIF($Q$6:$Q$17, "=yes", B6:B17)</f>
        <v>-525</v>
      </c>
      <c r="C28" s="9">
        <f t="shared" si="6"/>
        <v>-129</v>
      </c>
      <c r="D28" s="9">
        <f t="shared" si="6"/>
        <v>-127</v>
      </c>
      <c r="E28" s="9">
        <f t="shared" si="6"/>
        <v>-130</v>
      </c>
      <c r="F28" s="9">
        <f t="shared" si="6"/>
        <v>4</v>
      </c>
      <c r="G28" s="9">
        <f t="shared" si="6"/>
        <v>-32</v>
      </c>
      <c r="J28" s="2" t="s">
        <v>122</v>
      </c>
      <c r="K28" s="53">
        <f>K18</f>
        <v>9.6824570536179072E-2</v>
      </c>
      <c r="L28" s="53">
        <f t="shared" ref="L28:P28" si="7">L18</f>
        <v>0.26103646833013433</v>
      </c>
      <c r="M28" s="53">
        <f t="shared" si="7"/>
        <v>0.25935374149659862</v>
      </c>
      <c r="N28" s="53">
        <f t="shared" si="7"/>
        <v>0.2472</v>
      </c>
      <c r="O28" s="53">
        <f t="shared" si="7"/>
        <v>0.24216349108789181</v>
      </c>
      <c r="P28" s="53">
        <f t="shared" si="7"/>
        <v>0.29039548022598871</v>
      </c>
    </row>
    <row r="29" spans="1:17" ht="13.5" customHeight="1">
      <c r="A29" s="2" t="s">
        <v>119</v>
      </c>
      <c r="B29" s="9">
        <f>B30-SUM(B27:B28)</f>
        <v>-59</v>
      </c>
      <c r="C29" s="9">
        <f t="shared" ref="C29:G29" si="8">C30-SUM(C27:C28)</f>
        <v>-16</v>
      </c>
      <c r="D29" s="9">
        <f t="shared" si="8"/>
        <v>-38</v>
      </c>
      <c r="E29" s="9">
        <f t="shared" si="8"/>
        <v>-61</v>
      </c>
      <c r="F29" s="9">
        <f t="shared" si="8"/>
        <v>-114</v>
      </c>
      <c r="G29" s="9">
        <f t="shared" si="8"/>
        <v>15</v>
      </c>
      <c r="J29" s="2" t="s">
        <v>72</v>
      </c>
      <c r="K29" s="36">
        <f>-NOPLAT!B17/NOPLAT!B15</f>
        <v>-1.3859043596468027E-2</v>
      </c>
      <c r="L29" s="36">
        <f>-NOPLAT!C17/NOPLAT!C15</f>
        <v>0.29462729046181491</v>
      </c>
      <c r="M29" s="36">
        <f>-NOPLAT!D17/NOPLAT!D15</f>
        <v>0.29894614467515795</v>
      </c>
      <c r="N29" s="36">
        <f>-NOPLAT!E17/NOPLAT!E15</f>
        <v>0.30734141126158238</v>
      </c>
      <c r="O29" s="36">
        <f>-NOPLAT!F17/NOPLAT!F15</f>
        <v>0.312376754251178</v>
      </c>
      <c r="P29" s="36">
        <f>-NOPLAT!G17/NOPLAT!G15</f>
        <v>0.28677998339740646</v>
      </c>
    </row>
    <row r="30" spans="1:17" ht="13.5" customHeight="1" thickBot="1">
      <c r="A30" s="16" t="s">
        <v>120</v>
      </c>
      <c r="B30" s="17">
        <f t="shared" ref="B30:G30" si="9">B18</f>
        <v>186</v>
      </c>
      <c r="C30" s="17">
        <f t="shared" si="9"/>
        <v>272</v>
      </c>
      <c r="D30" s="17">
        <f t="shared" si="9"/>
        <v>305</v>
      </c>
      <c r="E30" s="17">
        <f t="shared" si="9"/>
        <v>309</v>
      </c>
      <c r="F30" s="17">
        <f t="shared" si="9"/>
        <v>394</v>
      </c>
      <c r="G30" s="17">
        <f t="shared" si="9"/>
        <v>257</v>
      </c>
    </row>
    <row r="31" spans="1:17" ht="13.5" customHeight="1" thickTop="1"/>
    <row r="32" spans="1:17" ht="13.5" customHeight="1">
      <c r="B32" s="9"/>
      <c r="C32" s="71"/>
      <c r="D32" s="9"/>
      <c r="E32" s="71"/>
      <c r="F32" s="9"/>
      <c r="G32" s="9"/>
    </row>
    <row r="34" spans="1:1" ht="13.5" customHeight="1">
      <c r="A34" s="3" t="s">
        <v>144</v>
      </c>
    </row>
    <row r="35" spans="1:1" ht="13.5" customHeight="1">
      <c r="A35" s="2" t="s">
        <v>145</v>
      </c>
    </row>
    <row r="36" spans="1:1" ht="13.5" customHeight="1">
      <c r="A36" s="2" t="s">
        <v>146</v>
      </c>
    </row>
    <row r="37" spans="1:1" ht="13.5" customHeight="1">
      <c r="A37" s="2" t="s">
        <v>147</v>
      </c>
    </row>
    <row r="38" spans="1:1" ht="13.5" customHeight="1">
      <c r="A38" s="2" t="s">
        <v>149</v>
      </c>
    </row>
    <row r="39" spans="1:1" ht="13.5" customHeight="1">
      <c r="A39" s="2" t="s">
        <v>148</v>
      </c>
    </row>
  </sheetData>
  <phoneticPr fontId="2" type="noConversion"/>
  <pageMargins left="0.45" right="0.45" top="0.75" bottom="0.75" header="0.3" footer="0.3"/>
  <pageSetup scale="65" orientation="landscape" r:id="rId1"/>
  <headerFooter>
    <oddHeader>&amp;C&amp;"Calibri,Bold"&amp;12Henkel AG
Operating Taxes</oddHeader>
  </headerFooter>
  <ignoredErrors>
    <ignoredError sqref="B29:G29" formulaRange="1"/>
  </ignoredErrors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Financials</vt:lpstr>
      <vt:lpstr>Supplemental</vt:lpstr>
      <vt:lpstr>Other</vt:lpstr>
      <vt:lpstr>Segments</vt:lpstr>
      <vt:lpstr>Segment Ratios</vt:lpstr>
      <vt:lpstr>ROIC</vt:lpstr>
      <vt:lpstr>NOPLAT</vt:lpstr>
      <vt:lpstr>Taxes</vt:lpstr>
      <vt:lpstr>Capital</vt:lpstr>
      <vt:lpstr>company_name</vt:lpstr>
      <vt:lpstr>currency</vt:lpstr>
    </vt:vector>
  </TitlesOfParts>
  <Company>The Wharton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 David Wessels</dc:creator>
  <cp:lastModifiedBy>David Wessels</cp:lastModifiedBy>
  <cp:lastPrinted>2010-12-06T22:29:18Z</cp:lastPrinted>
  <dcterms:created xsi:type="dcterms:W3CDTF">2007-03-24T22:54:24Z</dcterms:created>
  <dcterms:modified xsi:type="dcterms:W3CDTF">2010-12-06T22:29:36Z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7819&quot;&gt;&lt;version val=&quot;17875&quot;/&gt;&lt;CXlWorkbook id=&quot;1&quot;&gt;&lt;m_cxllink/&gt;&lt;/CXlWorkbook&gt;&lt;/root&gt;">
    <vt:bool>false</vt:bool>
  </property>
  <property fmtid="{D5CDD505-2E9C-101B-9397-08002B2CF9AE}" pid="3" name="CachePFDLData">
    <vt:lpwstr>True</vt:lpwstr>
  </property>
</Properties>
</file>