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autoCompressPictures="0"/>
  <bookViews>
    <workbookView xWindow="1965" yWindow="60" windowWidth="15480" windowHeight="11640" tabRatio="847"/>
  </bookViews>
  <sheets>
    <sheet name="Financials" sheetId="11" r:id="rId1"/>
    <sheet name="%%TOBA_CACHE%%" sheetId="14" state="veryHidden" r:id="rId2"/>
    <sheet name="Supplemental" sheetId="10" r:id="rId3"/>
    <sheet name="Reorganized" sheetId="21" r:id="rId4"/>
    <sheet name="Taxes" sheetId="4" r:id="rId5"/>
    <sheet name="Forecasts" sheetId="22" r:id="rId6"/>
    <sheet name="FCF" sheetId="16" r:id="rId7"/>
    <sheet name="Valuation" sheetId="23" r:id="rId8"/>
  </sheets>
  <definedNames>
    <definedName name="company_name">Financials!$A$2</definedName>
    <definedName name="currency">Financials!$A$5</definedName>
    <definedName name="_xlnm.Print_Area" localSheetId="6">FCF!$A$1:$M$65</definedName>
    <definedName name="_xlnm.Print_Area" localSheetId="7">Valuation!$A$1:$O$30</definedName>
    <definedName name="SPWS_WBID">"C55497C2-9C80-11D5-9866-00010246A83F"</definedName>
    <definedName name="WACC">Valuation!$G$10</definedName>
  </definedNames>
  <calcPr calcId="125725" calcOnSave="0"/>
</workbook>
</file>

<file path=xl/calcChain.xml><?xml version="1.0" encoding="utf-8"?>
<calcChain xmlns="http://schemas.openxmlformats.org/spreadsheetml/2006/main">
  <c r="B12" i="23"/>
  <c r="J23" i="4"/>
  <c r="A23" l="1"/>
  <c r="A33" i="10"/>
  <c r="D27" i="23"/>
  <c r="H57" i="22"/>
  <c r="I57" s="1"/>
  <c r="G57"/>
  <c r="F57"/>
  <c r="E57"/>
  <c r="D57"/>
  <c r="A21" i="16"/>
  <c r="A24"/>
  <c r="D21" i="23"/>
  <c r="D22"/>
  <c r="D23"/>
  <c r="D24"/>
  <c r="D20"/>
  <c r="A24"/>
  <c r="A23"/>
  <c r="A22"/>
  <c r="A21"/>
  <c r="A20"/>
  <c r="D17"/>
  <c r="D16"/>
  <c r="D15"/>
  <c r="F2"/>
  <c r="A2"/>
  <c r="A2" i="16"/>
  <c r="A2" i="21"/>
  <c r="A43"/>
  <c r="A71"/>
  <c r="B2" i="22"/>
  <c r="B29"/>
  <c r="J2" i="4"/>
  <c r="A2"/>
  <c r="J15" i="10"/>
  <c r="J2"/>
  <c r="A2"/>
  <c r="A30" i="11"/>
  <c r="I2"/>
  <c r="M66" i="21"/>
  <c r="M46"/>
  <c r="M5"/>
  <c r="M23" s="1"/>
  <c r="N52" i="22"/>
  <c r="C7" i="23"/>
  <c r="G5" i="16"/>
  <c r="A7" i="23" s="1"/>
  <c r="H5" i="16"/>
  <c r="A8" i="23" s="1"/>
  <c r="I5" i="16"/>
  <c r="A9" i="23" s="1"/>
  <c r="J5" i="16"/>
  <c r="A10" i="23" s="1"/>
  <c r="K5" i="16"/>
  <c r="A11" i="23" s="1"/>
  <c r="G15" i="16"/>
  <c r="H15"/>
  <c r="I15"/>
  <c r="J15"/>
  <c r="K15"/>
  <c r="A5"/>
  <c r="A42" s="1"/>
  <c r="B54"/>
  <c r="C54"/>
  <c r="D54"/>
  <c r="E54"/>
  <c r="B55"/>
  <c r="C55"/>
  <c r="F54"/>
  <c r="B7"/>
  <c r="C7"/>
  <c r="D7"/>
  <c r="E7"/>
  <c r="F7"/>
  <c r="B95" i="21"/>
  <c r="B52" i="16" s="1"/>
  <c r="C95" i="21"/>
  <c r="C52" i="16" s="1"/>
  <c r="D95" i="21"/>
  <c r="D52" i="16" s="1"/>
  <c r="E95" i="21"/>
  <c r="E52" i="16" s="1"/>
  <c r="F95" i="21"/>
  <c r="F52" i="16" s="1"/>
  <c r="B96" i="21"/>
  <c r="B53" i="16" s="1"/>
  <c r="C96" i="21"/>
  <c r="C53" i="16" s="1"/>
  <c r="D96" i="21"/>
  <c r="D53" i="16" s="1"/>
  <c r="E96" i="21"/>
  <c r="E53" i="16" s="1"/>
  <c r="F96" i="21"/>
  <c r="C97"/>
  <c r="D97"/>
  <c r="E97"/>
  <c r="F97"/>
  <c r="B98"/>
  <c r="C98"/>
  <c r="B37" i="16" s="1"/>
  <c r="D98" i="21"/>
  <c r="C37" i="16" s="1"/>
  <c r="E98" i="21"/>
  <c r="D37" i="16" s="1"/>
  <c r="F98" i="21"/>
  <c r="E37" i="16" s="1"/>
  <c r="B5" i="21"/>
  <c r="B31" s="1"/>
  <c r="C5"/>
  <c r="C23" s="1"/>
  <c r="B6"/>
  <c r="C6"/>
  <c r="D6"/>
  <c r="E6"/>
  <c r="F6"/>
  <c r="B7"/>
  <c r="C7"/>
  <c r="D7"/>
  <c r="E7"/>
  <c r="F7"/>
  <c r="B10"/>
  <c r="C10"/>
  <c r="D10"/>
  <c r="E10"/>
  <c r="F10"/>
  <c r="B11"/>
  <c r="C11"/>
  <c r="D11"/>
  <c r="E11"/>
  <c r="F11"/>
  <c r="B12"/>
  <c r="C12"/>
  <c r="D12"/>
  <c r="E12"/>
  <c r="F12"/>
  <c r="B14"/>
  <c r="C14"/>
  <c r="D14"/>
  <c r="E14"/>
  <c r="F14"/>
  <c r="B23"/>
  <c r="G96"/>
  <c r="F53" i="16" s="1"/>
  <c r="G97" i="21"/>
  <c r="G98"/>
  <c r="F37" i="16" s="1"/>
  <c r="G95" i="21"/>
  <c r="B17" i="11"/>
  <c r="B24" i="10"/>
  <c r="C14" i="11"/>
  <c r="B26" i="10"/>
  <c r="B30" s="1"/>
  <c r="B28"/>
  <c r="B17"/>
  <c r="B15"/>
  <c r="B36"/>
  <c r="C26"/>
  <c r="D26"/>
  <c r="E26"/>
  <c r="F26"/>
  <c r="C28"/>
  <c r="D28"/>
  <c r="E28"/>
  <c r="F28"/>
  <c r="C30"/>
  <c r="C29" s="1"/>
  <c r="D30"/>
  <c r="D29" s="1"/>
  <c r="E30"/>
  <c r="E29" s="1"/>
  <c r="F30"/>
  <c r="F29" s="1"/>
  <c r="C13"/>
  <c r="E13"/>
  <c r="F13"/>
  <c r="C15"/>
  <c r="E15"/>
  <c r="E37" s="1"/>
  <c r="E13" i="21" s="1"/>
  <c r="F15" i="10"/>
  <c r="F37" s="1"/>
  <c r="F13" i="21" s="1"/>
  <c r="C17" i="10"/>
  <c r="C16" s="1"/>
  <c r="E17"/>
  <c r="E16" s="1"/>
  <c r="E38" s="1"/>
  <c r="F17"/>
  <c r="F16" s="1"/>
  <c r="F38" s="1"/>
  <c r="B8" i="11"/>
  <c r="C8"/>
  <c r="C15" s="1"/>
  <c r="D8"/>
  <c r="D15" s="1"/>
  <c r="D19" s="1"/>
  <c r="E8"/>
  <c r="E15" s="1"/>
  <c r="F8"/>
  <c r="F15" s="1"/>
  <c r="F19" s="1"/>
  <c r="F22" s="1"/>
  <c r="F32" i="21" s="1"/>
  <c r="J18" i="10"/>
  <c r="J5"/>
  <c r="A36"/>
  <c r="A33" i="11"/>
  <c r="G37"/>
  <c r="F55" i="16" s="1"/>
  <c r="F37" i="11"/>
  <c r="E55" i="16" s="1"/>
  <c r="F39" i="11"/>
  <c r="E37"/>
  <c r="D55" i="16" s="1"/>
  <c r="E39" i="11"/>
  <c r="D39"/>
  <c r="C39"/>
  <c r="B34"/>
  <c r="O23"/>
  <c r="J35"/>
  <c r="J47"/>
  <c r="B97" i="21" s="1"/>
  <c r="J19" i="11"/>
  <c r="J15"/>
  <c r="K15"/>
  <c r="C18"/>
  <c r="C17"/>
  <c r="G36" i="10"/>
  <c r="C36"/>
  <c r="B33" i="11"/>
  <c r="G33"/>
  <c r="C33"/>
  <c r="G28" i="10"/>
  <c r="G20"/>
  <c r="C20"/>
  <c r="G15"/>
  <c r="G37" s="1"/>
  <c r="D32" i="22"/>
  <c r="E32" s="1"/>
  <c r="F32" s="1"/>
  <c r="G32" s="1"/>
  <c r="H32" s="1"/>
  <c r="I32" s="1"/>
  <c r="J32" s="1"/>
  <c r="K32" s="1"/>
  <c r="L32" s="1"/>
  <c r="M32" s="1"/>
  <c r="N32" s="1"/>
  <c r="B32"/>
  <c r="B5"/>
  <c r="B23" s="1"/>
  <c r="A46" i="21"/>
  <c r="C46"/>
  <c r="D46" s="1"/>
  <c r="E46" s="1"/>
  <c r="F46" s="1"/>
  <c r="G46" s="1"/>
  <c r="H46" s="1"/>
  <c r="I46" s="1"/>
  <c r="J46" s="1"/>
  <c r="K46" s="1"/>
  <c r="L46" s="1"/>
  <c r="B47"/>
  <c r="C47"/>
  <c r="D47"/>
  <c r="E47"/>
  <c r="F47"/>
  <c r="G47"/>
  <c r="A48"/>
  <c r="B48"/>
  <c r="C48"/>
  <c r="D48"/>
  <c r="E48"/>
  <c r="F48"/>
  <c r="G48"/>
  <c r="A49"/>
  <c r="B49"/>
  <c r="C49"/>
  <c r="D49"/>
  <c r="E49"/>
  <c r="F49"/>
  <c r="G49"/>
  <c r="A50"/>
  <c r="B50"/>
  <c r="C50"/>
  <c r="D50"/>
  <c r="E50"/>
  <c r="F50"/>
  <c r="G50"/>
  <c r="A51"/>
  <c r="B51"/>
  <c r="C51"/>
  <c r="D51"/>
  <c r="E51"/>
  <c r="F51"/>
  <c r="G51"/>
  <c r="A54"/>
  <c r="B54"/>
  <c r="C54"/>
  <c r="F54"/>
  <c r="G54"/>
  <c r="A55"/>
  <c r="B55"/>
  <c r="C55"/>
  <c r="D55"/>
  <c r="E55"/>
  <c r="F55"/>
  <c r="G55"/>
  <c r="A56"/>
  <c r="B56"/>
  <c r="C56"/>
  <c r="D56"/>
  <c r="E56"/>
  <c r="F56"/>
  <c r="G56"/>
  <c r="A57"/>
  <c r="B57"/>
  <c r="C57"/>
  <c r="D57"/>
  <c r="E57"/>
  <c r="F57"/>
  <c r="G57"/>
  <c r="A61"/>
  <c r="B61"/>
  <c r="C61"/>
  <c r="G61"/>
  <c r="A62"/>
  <c r="B62"/>
  <c r="C62"/>
  <c r="G62"/>
  <c r="A63"/>
  <c r="B63"/>
  <c r="C63"/>
  <c r="D63"/>
  <c r="E63"/>
  <c r="F63"/>
  <c r="G63"/>
  <c r="B66"/>
  <c r="C66"/>
  <c r="D52" i="22" s="1"/>
  <c r="D66" i="21"/>
  <c r="E52" i="22" s="1"/>
  <c r="E66" i="21"/>
  <c r="F52" i="22" s="1"/>
  <c r="F66" i="21"/>
  <c r="G52" i="22" s="1"/>
  <c r="G66" i="21"/>
  <c r="H52" i="22" s="1"/>
  <c r="C74" i="21"/>
  <c r="D74" s="1"/>
  <c r="E74" s="1"/>
  <c r="F74" s="1"/>
  <c r="G74" s="1"/>
  <c r="B76"/>
  <c r="C76"/>
  <c r="D76"/>
  <c r="E76"/>
  <c r="F76"/>
  <c r="G76"/>
  <c r="B77"/>
  <c r="C77"/>
  <c r="D77"/>
  <c r="E77"/>
  <c r="F77"/>
  <c r="G77"/>
  <c r="B78"/>
  <c r="C78"/>
  <c r="D78"/>
  <c r="E78"/>
  <c r="F78"/>
  <c r="G78"/>
  <c r="B79"/>
  <c r="C79"/>
  <c r="F79"/>
  <c r="G79"/>
  <c r="B80"/>
  <c r="C80"/>
  <c r="D80"/>
  <c r="E80"/>
  <c r="F80"/>
  <c r="G80"/>
  <c r="B81"/>
  <c r="C81"/>
  <c r="D81"/>
  <c r="E81"/>
  <c r="F81"/>
  <c r="G81"/>
  <c r="C85"/>
  <c r="D85" s="1"/>
  <c r="E85" s="1"/>
  <c r="F85" s="1"/>
  <c r="G85" s="1"/>
  <c r="B86"/>
  <c r="B43" i="16" s="1"/>
  <c r="C86" i="21"/>
  <c r="C43" i="16" s="1"/>
  <c r="D86" i="21"/>
  <c r="D43" i="16" s="1"/>
  <c r="E86" i="21"/>
  <c r="E43" i="16" s="1"/>
  <c r="F86" i="21"/>
  <c r="F43" i="16" s="1"/>
  <c r="G86" i="21"/>
  <c r="B87"/>
  <c r="B44" i="16" s="1"/>
  <c r="C87" i="21"/>
  <c r="C44" i="16" s="1"/>
  <c r="D87" i="21"/>
  <c r="D44" i="16" s="1"/>
  <c r="E87" i="21"/>
  <c r="E44" i="16" s="1"/>
  <c r="F87" i="21"/>
  <c r="F44" i="16" s="1"/>
  <c r="G87" i="21"/>
  <c r="B88"/>
  <c r="B45" i="16" s="1"/>
  <c r="C88" i="21"/>
  <c r="C45" i="16" s="1"/>
  <c r="D88" i="21"/>
  <c r="D45" i="16" s="1"/>
  <c r="E88" i="21"/>
  <c r="E45" i="16" s="1"/>
  <c r="F88" i="21"/>
  <c r="F45" i="16" s="1"/>
  <c r="G88" i="21"/>
  <c r="B89"/>
  <c r="B46" i="16" s="1"/>
  <c r="C89" i="21"/>
  <c r="C46" i="16" s="1"/>
  <c r="D89" i="21"/>
  <c r="D46" i="16" s="1"/>
  <c r="E89" i="21"/>
  <c r="E46" i="16" s="1"/>
  <c r="F89" i="21"/>
  <c r="F46" i="16" s="1"/>
  <c r="G89" i="21"/>
  <c r="B92"/>
  <c r="F92"/>
  <c r="B93"/>
  <c r="B50" i="16" s="1"/>
  <c r="C93" i="21"/>
  <c r="C50" i="16" s="1"/>
  <c r="D93" i="21"/>
  <c r="D50" i="16" s="1"/>
  <c r="E93" i="21"/>
  <c r="E50" i="16" s="1"/>
  <c r="F93" i="21"/>
  <c r="F50" i="16" s="1"/>
  <c r="G93" i="21"/>
  <c r="G14"/>
  <c r="G12"/>
  <c r="G11"/>
  <c r="G10"/>
  <c r="G7"/>
  <c r="G6"/>
  <c r="G5"/>
  <c r="G23" s="1"/>
  <c r="A5"/>
  <c r="A23" s="1"/>
  <c r="M18" i="10"/>
  <c r="N18" s="1"/>
  <c r="O18" s="1"/>
  <c r="J57" i="22" l="1"/>
  <c r="F47" i="16"/>
  <c r="D47"/>
  <c r="E47"/>
  <c r="C47"/>
  <c r="B47"/>
  <c r="C8" i="23"/>
  <c r="B12" i="16"/>
  <c r="F8" i="21"/>
  <c r="D8"/>
  <c r="B8"/>
  <c r="C38" i="10"/>
  <c r="C37"/>
  <c r="C13" i="21" s="1"/>
  <c r="B37" i="10"/>
  <c r="F25" i="11"/>
  <c r="F35" s="1"/>
  <c r="B38" i="16"/>
  <c r="B36"/>
  <c r="D35"/>
  <c r="B35"/>
  <c r="E34"/>
  <c r="C34"/>
  <c r="D33"/>
  <c r="B33"/>
  <c r="E14"/>
  <c r="C14"/>
  <c r="C31" i="21"/>
  <c r="E8"/>
  <c r="E15" s="1"/>
  <c r="C8"/>
  <c r="F15"/>
  <c r="B13" i="16"/>
  <c r="D20" i="4"/>
  <c r="D22" i="11"/>
  <c r="C19"/>
  <c r="C15" i="21"/>
  <c r="D38" i="16"/>
  <c r="E38"/>
  <c r="C38"/>
  <c r="E35"/>
  <c r="C35"/>
  <c r="D34"/>
  <c r="B34"/>
  <c r="E33"/>
  <c r="C33"/>
  <c r="D14"/>
  <c r="B14"/>
  <c r="F34"/>
  <c r="G31" i="21"/>
  <c r="A31"/>
  <c r="F38" i="16"/>
  <c r="F36"/>
  <c r="F35"/>
  <c r="F33"/>
  <c r="F14"/>
  <c r="F5"/>
  <c r="B5"/>
  <c r="C20" i="4"/>
  <c r="C22" i="11"/>
  <c r="C25" s="1"/>
  <c r="C35" s="1"/>
  <c r="B29" i="10"/>
  <c r="B16"/>
  <c r="E8" i="22"/>
  <c r="F8"/>
  <c r="G8"/>
  <c r="D8"/>
  <c r="G8" i="21"/>
  <c r="H8" i="22" s="1"/>
  <c r="C8"/>
  <c r="C52"/>
  <c r="G49"/>
  <c r="E49"/>
  <c r="C49"/>
  <c r="H48"/>
  <c r="D48"/>
  <c r="C47"/>
  <c r="H43"/>
  <c r="I43" s="1"/>
  <c r="J43" s="1"/>
  <c r="K43" s="1"/>
  <c r="L43" s="1"/>
  <c r="M43" s="1"/>
  <c r="N43" s="1"/>
  <c r="F43"/>
  <c r="D43"/>
  <c r="G42"/>
  <c r="E42"/>
  <c r="C42"/>
  <c r="H41"/>
  <c r="I41" s="1"/>
  <c r="J41" s="1"/>
  <c r="K41" s="1"/>
  <c r="L41" s="1"/>
  <c r="M41" s="1"/>
  <c r="N41" s="1"/>
  <c r="F41"/>
  <c r="D41"/>
  <c r="G40"/>
  <c r="C40"/>
  <c r="H37"/>
  <c r="I37" s="1"/>
  <c r="J37" s="1"/>
  <c r="K37" s="1"/>
  <c r="L37" s="1"/>
  <c r="M37" s="1"/>
  <c r="N37" s="1"/>
  <c r="F37"/>
  <c r="D37"/>
  <c r="G36"/>
  <c r="E36"/>
  <c r="C36"/>
  <c r="H35"/>
  <c r="I35" s="1"/>
  <c r="J35" s="1"/>
  <c r="K35" s="1"/>
  <c r="L35" s="1"/>
  <c r="M35" s="1"/>
  <c r="N35" s="1"/>
  <c r="F35"/>
  <c r="D35"/>
  <c r="G34"/>
  <c r="E34"/>
  <c r="C34"/>
  <c r="H33"/>
  <c r="I33" s="1"/>
  <c r="J33" s="1"/>
  <c r="K33" s="1"/>
  <c r="L33" s="1"/>
  <c r="M33" s="1"/>
  <c r="N33" s="1"/>
  <c r="F33"/>
  <c r="D33"/>
  <c r="F49"/>
  <c r="D49"/>
  <c r="C48"/>
  <c r="D47"/>
  <c r="G43"/>
  <c r="E43"/>
  <c r="C43"/>
  <c r="F42"/>
  <c r="D42"/>
  <c r="G41"/>
  <c r="E41"/>
  <c r="C41"/>
  <c r="D40"/>
  <c r="G37"/>
  <c r="E37"/>
  <c r="C37"/>
  <c r="F36"/>
  <c r="D36"/>
  <c r="G35"/>
  <c r="E35"/>
  <c r="C35"/>
  <c r="F34"/>
  <c r="D34"/>
  <c r="G33"/>
  <c r="E33"/>
  <c r="C33"/>
  <c r="H66" i="21"/>
  <c r="H34" i="22"/>
  <c r="I34" s="1"/>
  <c r="J34" s="1"/>
  <c r="K34" s="1"/>
  <c r="L34" s="1"/>
  <c r="M34" s="1"/>
  <c r="N34" s="1"/>
  <c r="H36"/>
  <c r="I36" s="1"/>
  <c r="J36" s="1"/>
  <c r="K36" s="1"/>
  <c r="L36" s="1"/>
  <c r="M36" s="1"/>
  <c r="N36" s="1"/>
  <c r="H40"/>
  <c r="I40" s="1"/>
  <c r="J40" s="1"/>
  <c r="K40" s="1"/>
  <c r="L40" s="1"/>
  <c r="M40" s="1"/>
  <c r="N40" s="1"/>
  <c r="H42"/>
  <c r="I42" s="1"/>
  <c r="J42" s="1"/>
  <c r="K42" s="1"/>
  <c r="L42" s="1"/>
  <c r="M42" s="1"/>
  <c r="N42" s="1"/>
  <c r="H47"/>
  <c r="I47" s="1"/>
  <c r="J47" s="1"/>
  <c r="K47" s="1"/>
  <c r="L47" s="1"/>
  <c r="M47" s="1"/>
  <c r="N47" s="1"/>
  <c r="H49"/>
  <c r="I49" s="1"/>
  <c r="J49" s="1"/>
  <c r="K49" s="1"/>
  <c r="L49" s="1"/>
  <c r="M49" s="1"/>
  <c r="N49" s="1"/>
  <c r="I48"/>
  <c r="J48" s="1"/>
  <c r="K48" s="1"/>
  <c r="L48" s="1"/>
  <c r="M48" s="1"/>
  <c r="N48" s="1"/>
  <c r="C7"/>
  <c r="E7"/>
  <c r="G7"/>
  <c r="C10"/>
  <c r="E10"/>
  <c r="G10"/>
  <c r="C11"/>
  <c r="E11"/>
  <c r="G11"/>
  <c r="C12"/>
  <c r="E12"/>
  <c r="G12"/>
  <c r="C14"/>
  <c r="E14"/>
  <c r="G14"/>
  <c r="D7"/>
  <c r="F7"/>
  <c r="H7"/>
  <c r="I7" s="1"/>
  <c r="J7" s="1"/>
  <c r="K7" s="1"/>
  <c r="L7" s="1"/>
  <c r="M7" s="1"/>
  <c r="N7" s="1"/>
  <c r="D10"/>
  <c r="F10"/>
  <c r="H10"/>
  <c r="I10" s="1"/>
  <c r="J10" s="1"/>
  <c r="K10" s="1"/>
  <c r="L10" s="1"/>
  <c r="M10" s="1"/>
  <c r="N10" s="1"/>
  <c r="D11"/>
  <c r="F11"/>
  <c r="H11"/>
  <c r="I11" s="1"/>
  <c r="J11" s="1"/>
  <c r="K11" s="1"/>
  <c r="L11" s="1"/>
  <c r="M11" s="1"/>
  <c r="N11" s="1"/>
  <c r="D12"/>
  <c r="F12"/>
  <c r="H12"/>
  <c r="I12" s="1"/>
  <c r="J12" s="1"/>
  <c r="K12" s="1"/>
  <c r="L12" s="1"/>
  <c r="M12" s="1"/>
  <c r="N12" s="1"/>
  <c r="D14"/>
  <c r="F14"/>
  <c r="H14"/>
  <c r="I14" s="1"/>
  <c r="J14" s="1"/>
  <c r="K14" s="1"/>
  <c r="L14" s="1"/>
  <c r="M14" s="1"/>
  <c r="N14" s="1"/>
  <c r="H5" i="21"/>
  <c r="C5" i="22"/>
  <c r="C23" s="1"/>
  <c r="D6"/>
  <c r="F6"/>
  <c r="H6"/>
  <c r="F90" i="21"/>
  <c r="F99" s="1"/>
  <c r="D5" i="22"/>
  <c r="D23" s="1"/>
  <c r="H5"/>
  <c r="E6"/>
  <c r="G6"/>
  <c r="B58" i="21"/>
  <c r="C44" i="22" s="1"/>
  <c r="F58" i="21"/>
  <c r="G44" i="22" s="1"/>
  <c r="B90" i="21"/>
  <c r="B99" s="1"/>
  <c r="F52"/>
  <c r="G38" i="22" s="1"/>
  <c r="B52" i="21"/>
  <c r="C38" i="22" s="1"/>
  <c r="D52" i="21"/>
  <c r="E38" i="22" s="1"/>
  <c r="D90" i="21"/>
  <c r="G52"/>
  <c r="H38" i="22" s="1"/>
  <c r="E52" i="21"/>
  <c r="F38" i="22" s="1"/>
  <c r="C52" i="21"/>
  <c r="D38" i="22" s="1"/>
  <c r="G90" i="21"/>
  <c r="E90"/>
  <c r="C90"/>
  <c r="G58"/>
  <c r="H44" i="22" s="1"/>
  <c r="C58" i="21"/>
  <c r="D44" i="22" s="1"/>
  <c r="D8" i="10"/>
  <c r="J10" i="4"/>
  <c r="J7"/>
  <c r="J8"/>
  <c r="J9"/>
  <c r="J11"/>
  <c r="J12"/>
  <c r="J13"/>
  <c r="J14"/>
  <c r="J15"/>
  <c r="J16"/>
  <c r="J17"/>
  <c r="J6"/>
  <c r="O10" i="10"/>
  <c r="P10"/>
  <c r="M5"/>
  <c r="N5" s="1"/>
  <c r="O5" s="1"/>
  <c r="G8" i="11"/>
  <c r="G15" s="1"/>
  <c r="G19" s="1"/>
  <c r="E17"/>
  <c r="E19" s="1"/>
  <c r="E22" s="1"/>
  <c r="E25" s="1"/>
  <c r="E35" s="1"/>
  <c r="D5"/>
  <c r="E5"/>
  <c r="F5"/>
  <c r="O38"/>
  <c r="G92" i="21" s="1"/>
  <c r="F49" i="16" s="1"/>
  <c r="F56" s="1"/>
  <c r="M38" i="11"/>
  <c r="E92" i="21" s="1"/>
  <c r="E49" i="16" s="1"/>
  <c r="E56" s="1"/>
  <c r="L38" i="11"/>
  <c r="D92" i="21" s="1"/>
  <c r="D49" i="16" s="1"/>
  <c r="D56" s="1"/>
  <c r="K38" i="11"/>
  <c r="C92" i="21" s="1"/>
  <c r="C49" i="16" s="1"/>
  <c r="C56" s="1"/>
  <c r="N15" i="11"/>
  <c r="F61" i="21" s="1"/>
  <c r="F12" i="16" s="1"/>
  <c r="N22" i="11"/>
  <c r="F62" i="21" s="1"/>
  <c r="G48" i="22" s="1"/>
  <c r="M29" i="11"/>
  <c r="E54" i="21" s="1"/>
  <c r="E58" s="1"/>
  <c r="F44" i="22" s="1"/>
  <c r="M15" i="11"/>
  <c r="E61" i="21" s="1"/>
  <c r="E12" i="16" s="1"/>
  <c r="M22" i="11"/>
  <c r="E62" i="21" s="1"/>
  <c r="M20" i="11"/>
  <c r="E79" i="21" s="1"/>
  <c r="E36" i="16" s="1"/>
  <c r="L29" i="11"/>
  <c r="D54" i="21" s="1"/>
  <c r="E40" i="22" s="1"/>
  <c r="L15" i="11"/>
  <c r="D61" i="21" s="1"/>
  <c r="C12" i="16" s="1"/>
  <c r="L22" i="11"/>
  <c r="D62" i="21" s="1"/>
  <c r="D13" i="16" s="1"/>
  <c r="L20" i="11"/>
  <c r="D79" i="21" s="1"/>
  <c r="D36" i="16" s="1"/>
  <c r="G28" i="4"/>
  <c r="F28"/>
  <c r="C28"/>
  <c r="G27"/>
  <c r="F27"/>
  <c r="E27"/>
  <c r="D27"/>
  <c r="C27"/>
  <c r="B27"/>
  <c r="M26"/>
  <c r="N26"/>
  <c r="O26" s="1"/>
  <c r="P26" s="1"/>
  <c r="C18"/>
  <c r="C30" s="1"/>
  <c r="D28"/>
  <c r="D18"/>
  <c r="D30" s="1"/>
  <c r="E28"/>
  <c r="E18"/>
  <c r="E30" s="1"/>
  <c r="F18"/>
  <c r="G18"/>
  <c r="G30" s="1"/>
  <c r="B16"/>
  <c r="B28" s="1"/>
  <c r="D26"/>
  <c r="E26" s="1"/>
  <c r="F26" s="1"/>
  <c r="G26" s="1"/>
  <c r="M5"/>
  <c r="N5" s="1"/>
  <c r="O5" s="1"/>
  <c r="P5" s="1"/>
  <c r="D5"/>
  <c r="E5" s="1"/>
  <c r="F5" s="1"/>
  <c r="G5" s="1"/>
  <c r="G13" i="10"/>
  <c r="G17" s="1"/>
  <c r="G16" s="1"/>
  <c r="G38" s="1"/>
  <c r="G26"/>
  <c r="G30" s="1"/>
  <c r="G29" s="1"/>
  <c r="D5"/>
  <c r="O33" i="11"/>
  <c r="O41" s="1"/>
  <c r="O49" s="1"/>
  <c r="L5"/>
  <c r="J13"/>
  <c r="J23" s="1"/>
  <c r="K13"/>
  <c r="K23" s="1"/>
  <c r="L13"/>
  <c r="L23" s="1"/>
  <c r="M13"/>
  <c r="M23" s="1"/>
  <c r="N13"/>
  <c r="N23" s="1"/>
  <c r="L26"/>
  <c r="M26" s="1"/>
  <c r="N26" s="1"/>
  <c r="O26" s="1"/>
  <c r="J33"/>
  <c r="J41" s="1"/>
  <c r="J49" s="1"/>
  <c r="K33"/>
  <c r="L33"/>
  <c r="L41" s="1"/>
  <c r="L49" s="1"/>
  <c r="M33"/>
  <c r="M41" s="1"/>
  <c r="M49" s="1"/>
  <c r="N33"/>
  <c r="N41" s="1"/>
  <c r="N49" s="1"/>
  <c r="K41"/>
  <c r="K49" s="1"/>
  <c r="B14"/>
  <c r="B15" s="1"/>
  <c r="B19" s="1"/>
  <c r="K57" i="22" l="1"/>
  <c r="F42" i="16"/>
  <c r="F24"/>
  <c r="B42"/>
  <c r="B24"/>
  <c r="C9" i="23"/>
  <c r="D12" i="16"/>
  <c r="B49"/>
  <c r="B56" s="1"/>
  <c r="B25" i="21"/>
  <c r="E25"/>
  <c r="D25"/>
  <c r="C25"/>
  <c r="G25"/>
  <c r="F25"/>
  <c r="B18" i="4"/>
  <c r="B30" s="1"/>
  <c r="B29" s="1"/>
  <c r="D13" i="10"/>
  <c r="D17" s="1"/>
  <c r="D15"/>
  <c r="D37" s="1"/>
  <c r="D13" i="21" s="1"/>
  <c r="D15" s="1"/>
  <c r="B13"/>
  <c r="E5" i="10"/>
  <c r="D36"/>
  <c r="D20"/>
  <c r="B38"/>
  <c r="D32" i="21"/>
  <c r="D25" i="11"/>
  <c r="D35" s="1"/>
  <c r="C99" i="21"/>
  <c r="D99"/>
  <c r="E99"/>
  <c r="E13" i="16"/>
  <c r="B60" i="21"/>
  <c r="B64" s="1"/>
  <c r="C50" i="22" s="1"/>
  <c r="B20" i="4"/>
  <c r="B22" i="11"/>
  <c r="B25" s="1"/>
  <c r="B35" s="1"/>
  <c r="B40" s="1"/>
  <c r="C34" s="1"/>
  <c r="G22"/>
  <c r="G25" s="1"/>
  <c r="G35" s="1"/>
  <c r="G20" i="4"/>
  <c r="P7" s="1"/>
  <c r="E32" i="21"/>
  <c r="D58"/>
  <c r="E44" i="22" s="1"/>
  <c r="F40"/>
  <c r="F47"/>
  <c r="E48"/>
  <c r="E47"/>
  <c r="F13" i="16"/>
  <c r="C13"/>
  <c r="C36"/>
  <c r="F5" i="21"/>
  <c r="F33" i="11"/>
  <c r="E5" i="21"/>
  <c r="E33" i="11"/>
  <c r="D5" i="21"/>
  <c r="D33" i="11"/>
  <c r="C32" i="21"/>
  <c r="G99"/>
  <c r="G47" i="22"/>
  <c r="F48"/>
  <c r="C46"/>
  <c r="F20" i="4"/>
  <c r="O6" s="1"/>
  <c r="O27" s="1"/>
  <c r="E20"/>
  <c r="N9" s="1"/>
  <c r="P17"/>
  <c r="L8"/>
  <c r="I52" i="22"/>
  <c r="I66" i="21"/>
  <c r="H6"/>
  <c r="G7" i="16" s="1"/>
  <c r="H23" i="21"/>
  <c r="I5"/>
  <c r="H23" i="22"/>
  <c r="I5"/>
  <c r="C60" i="21"/>
  <c r="D60"/>
  <c r="F60"/>
  <c r="G60"/>
  <c r="E60"/>
  <c r="G29" i="4"/>
  <c r="M5" i="11"/>
  <c r="O9" i="4"/>
  <c r="O12"/>
  <c r="O15"/>
  <c r="O8"/>
  <c r="O16"/>
  <c r="L11"/>
  <c r="L14"/>
  <c r="L6"/>
  <c r="L27" s="1"/>
  <c r="L17"/>
  <c r="L13"/>
  <c r="L9"/>
  <c r="P13"/>
  <c r="O14"/>
  <c r="L12"/>
  <c r="M6"/>
  <c r="M27" s="1"/>
  <c r="M7"/>
  <c r="M8"/>
  <c r="M9"/>
  <c r="M10"/>
  <c r="M11"/>
  <c r="M12"/>
  <c r="M13"/>
  <c r="M14"/>
  <c r="M15"/>
  <c r="M16"/>
  <c r="M17"/>
  <c r="M18"/>
  <c r="M28" s="1"/>
  <c r="F30"/>
  <c r="F29" s="1"/>
  <c r="P18"/>
  <c r="P28" s="1"/>
  <c r="P10"/>
  <c r="P9"/>
  <c r="C29"/>
  <c r="E29"/>
  <c r="D29"/>
  <c r="L57" i="22" l="1"/>
  <c r="C10" i="23"/>
  <c r="C33" i="21"/>
  <c r="B30" i="16" s="1"/>
  <c r="B33" i="21"/>
  <c r="D33"/>
  <c r="C30" i="16" s="1"/>
  <c r="F33" i="21"/>
  <c r="E30" i="16" s="1"/>
  <c r="E33" i="21"/>
  <c r="D30" i="16" s="1"/>
  <c r="G33" i="21"/>
  <c r="F30" i="16" s="1"/>
  <c r="F5" i="10"/>
  <c r="E20"/>
  <c r="E36"/>
  <c r="D16"/>
  <c r="D38" s="1"/>
  <c r="C13" i="22"/>
  <c r="B15" i="21"/>
  <c r="C15" i="22" s="1"/>
  <c r="P14" i="4"/>
  <c r="P11"/>
  <c r="P12"/>
  <c r="P16"/>
  <c r="P6"/>
  <c r="P27" s="1"/>
  <c r="G37" i="21" s="1"/>
  <c r="F29" i="16" s="1"/>
  <c r="P15" i="4"/>
  <c r="P8"/>
  <c r="N15"/>
  <c r="N11"/>
  <c r="B11" i="16"/>
  <c r="D31" i="21"/>
  <c r="D23"/>
  <c r="C5" i="16"/>
  <c r="E5" i="22"/>
  <c r="E23" s="1"/>
  <c r="E23" i="21"/>
  <c r="E31"/>
  <c r="D5" i="16"/>
  <c r="F5" i="22"/>
  <c r="F23" s="1"/>
  <c r="F31" i="21"/>
  <c r="F23"/>
  <c r="G5" i="22"/>
  <c r="G23" s="1"/>
  <c r="E5" i="16"/>
  <c r="G32" i="21"/>
  <c r="K6" i="4"/>
  <c r="K27" s="1"/>
  <c r="K8"/>
  <c r="K10"/>
  <c r="K12"/>
  <c r="K14"/>
  <c r="K16"/>
  <c r="K18"/>
  <c r="K28" s="1"/>
  <c r="K7"/>
  <c r="K9"/>
  <c r="K11"/>
  <c r="K13"/>
  <c r="K15"/>
  <c r="K17"/>
  <c r="B32" i="21"/>
  <c r="F46" i="22"/>
  <c r="E11" i="16"/>
  <c r="E46" i="22"/>
  <c r="D11" i="16"/>
  <c r="G35" i="21"/>
  <c r="F27" i="16" s="1"/>
  <c r="G38" i="21"/>
  <c r="F15" i="16" s="1"/>
  <c r="D34" i="21"/>
  <c r="C26" i="16" s="1"/>
  <c r="D24" i="21"/>
  <c r="D26" s="1"/>
  <c r="D17" s="1"/>
  <c r="D18" s="1"/>
  <c r="C6" i="16" s="1"/>
  <c r="C8" s="1"/>
  <c r="D36" i="21"/>
  <c r="C28" i="16" s="1"/>
  <c r="D38" i="21"/>
  <c r="C15" i="16" s="1"/>
  <c r="D35" i="21"/>
  <c r="C27" i="16" s="1"/>
  <c r="D37" i="21"/>
  <c r="C29" i="16" s="1"/>
  <c r="C35" i="21"/>
  <c r="B27" i="16" s="1"/>
  <c r="C37" i="21"/>
  <c r="B29" i="16" s="1"/>
  <c r="C34" i="21"/>
  <c r="B26" i="16" s="1"/>
  <c r="C24" i="21"/>
  <c r="C26" s="1"/>
  <c r="C17" s="1"/>
  <c r="C18" s="1"/>
  <c r="B6" i="16" s="1"/>
  <c r="B8" s="1"/>
  <c r="C36" i="21"/>
  <c r="B28" i="16" s="1"/>
  <c r="C38" i="21"/>
  <c r="B15" i="16" s="1"/>
  <c r="D46" i="22"/>
  <c r="C11" i="16"/>
  <c r="F34" i="21"/>
  <c r="F24"/>
  <c r="F26" s="1"/>
  <c r="F17" s="1"/>
  <c r="F18" s="1"/>
  <c r="E6" i="16" s="1"/>
  <c r="E8" s="1"/>
  <c r="F36" i="21"/>
  <c r="E28" i="16" s="1"/>
  <c r="F38" i="21"/>
  <c r="E15" i="16" s="1"/>
  <c r="F35" i="21"/>
  <c r="E27" i="16" s="1"/>
  <c r="F37" i="21"/>
  <c r="E29" i="16" s="1"/>
  <c r="N18" i="4"/>
  <c r="N28" s="1"/>
  <c r="N17"/>
  <c r="N8"/>
  <c r="N7"/>
  <c r="G46" i="22"/>
  <c r="F11" i="16"/>
  <c r="L18" i="4"/>
  <c r="L28" s="1"/>
  <c r="O10"/>
  <c r="N13"/>
  <c r="L16"/>
  <c r="N6"/>
  <c r="N27" s="1"/>
  <c r="N10"/>
  <c r="N14"/>
  <c r="L10"/>
  <c r="L7"/>
  <c r="L15"/>
  <c r="O11"/>
  <c r="O17"/>
  <c r="O7"/>
  <c r="O13"/>
  <c r="N16"/>
  <c r="N12"/>
  <c r="O18"/>
  <c r="O28" s="1"/>
  <c r="H24" i="22"/>
  <c r="I24" s="1"/>
  <c r="J24" s="1"/>
  <c r="K24" s="1"/>
  <c r="L24" s="1"/>
  <c r="M24" s="1"/>
  <c r="N24" s="1"/>
  <c r="G24"/>
  <c r="D24"/>
  <c r="E24"/>
  <c r="H46"/>
  <c r="I46" s="1"/>
  <c r="J46" s="1"/>
  <c r="K46" s="1"/>
  <c r="L46" s="1"/>
  <c r="M46" s="1"/>
  <c r="N46" s="1"/>
  <c r="J66" i="21"/>
  <c r="J52" i="22"/>
  <c r="H48" i="21"/>
  <c r="H50"/>
  <c r="H49"/>
  <c r="H54"/>
  <c r="H56"/>
  <c r="H61"/>
  <c r="H47"/>
  <c r="H55"/>
  <c r="H57"/>
  <c r="H62"/>
  <c r="H51"/>
  <c r="H63"/>
  <c r="I23"/>
  <c r="J5"/>
  <c r="H11"/>
  <c r="H7"/>
  <c r="H8" s="1"/>
  <c r="I6"/>
  <c r="H7" i="16" s="1"/>
  <c r="H14" i="21"/>
  <c r="H12"/>
  <c r="H10"/>
  <c r="J5" i="22"/>
  <c r="I23"/>
  <c r="E64" i="21"/>
  <c r="F50" i="22" s="1"/>
  <c r="G64" i="21"/>
  <c r="H50" i="22" s="1"/>
  <c r="F64" i="21"/>
  <c r="G50" i="22" s="1"/>
  <c r="B67" i="21"/>
  <c r="C53" i="22" s="1"/>
  <c r="D64" i="21"/>
  <c r="E50" i="22" s="1"/>
  <c r="C64" i="21"/>
  <c r="D50" i="22" s="1"/>
  <c r="N5" i="11"/>
  <c r="M57" i="22" l="1"/>
  <c r="E42" i="16"/>
  <c r="E24"/>
  <c r="D42"/>
  <c r="D24"/>
  <c r="C42"/>
  <c r="C24"/>
  <c r="G14"/>
  <c r="G13"/>
  <c r="G12"/>
  <c r="C11" i="23"/>
  <c r="E16" i="16"/>
  <c r="E25" s="1"/>
  <c r="B16"/>
  <c r="C16"/>
  <c r="G34" i="21"/>
  <c r="F36" i="10"/>
  <c r="F20"/>
  <c r="G36" i="21"/>
  <c r="F28" i="16" s="1"/>
  <c r="B34" i="21"/>
  <c r="B38"/>
  <c r="B35"/>
  <c r="C24" i="22"/>
  <c r="B24" i="21"/>
  <c r="B26" s="1"/>
  <c r="B36"/>
  <c r="B37"/>
  <c r="E35"/>
  <c r="D27" i="16" s="1"/>
  <c r="E37" i="21"/>
  <c r="D29" i="16" s="1"/>
  <c r="E34" i="21"/>
  <c r="D26" i="16" s="1"/>
  <c r="E24" i="21"/>
  <c r="E26" s="1"/>
  <c r="E17" s="1"/>
  <c r="E18" s="1"/>
  <c r="D6" i="16" s="1"/>
  <c r="D8" s="1"/>
  <c r="E36" i="21"/>
  <c r="D28" i="16" s="1"/>
  <c r="E38" i="21"/>
  <c r="D15" i="16" s="1"/>
  <c r="F26"/>
  <c r="G39" i="21"/>
  <c r="E26" i="16"/>
  <c r="F39" i="21"/>
  <c r="F24" i="22"/>
  <c r="K66" i="21"/>
  <c r="K52" i="22"/>
  <c r="I50" i="21"/>
  <c r="I48"/>
  <c r="I47"/>
  <c r="I55"/>
  <c r="I57"/>
  <c r="I51"/>
  <c r="I49"/>
  <c r="I54"/>
  <c r="I56"/>
  <c r="I63"/>
  <c r="I62"/>
  <c r="I61"/>
  <c r="H58"/>
  <c r="I44" i="22" s="1"/>
  <c r="H52" i="21"/>
  <c r="I38" i="22" s="1"/>
  <c r="I8"/>
  <c r="J23" i="21"/>
  <c r="K5"/>
  <c r="K5" i="22"/>
  <c r="J23"/>
  <c r="J6" i="21"/>
  <c r="I7" i="16" s="1"/>
  <c r="I7" i="21"/>
  <c r="I8" s="1"/>
  <c r="I10"/>
  <c r="I11"/>
  <c r="I12"/>
  <c r="I14"/>
  <c r="C67"/>
  <c r="D53" i="22" s="1"/>
  <c r="D67" i="21"/>
  <c r="E53" i="22" s="1"/>
  <c r="B75" i="21"/>
  <c r="B82" s="1"/>
  <c r="F67"/>
  <c r="G53" i="22" s="1"/>
  <c r="G67" i="21"/>
  <c r="H53" i="22" s="1"/>
  <c r="E67" i="21"/>
  <c r="F53" i="22" s="1"/>
  <c r="O5" i="11"/>
  <c r="N57" i="22" l="1"/>
  <c r="E39" i="16"/>
  <c r="B25"/>
  <c r="B39" s="1"/>
  <c r="C25"/>
  <c r="C39" s="1"/>
  <c r="H13"/>
  <c r="H12"/>
  <c r="H14"/>
  <c r="C12" i="23"/>
  <c r="D16" i="16"/>
  <c r="B17" i="21"/>
  <c r="C26" i="22"/>
  <c r="C25" s="1"/>
  <c r="I58" i="21"/>
  <c r="J44" i="22" s="1"/>
  <c r="L66" i="21"/>
  <c r="M52" i="22" s="1"/>
  <c r="L52"/>
  <c r="J55" i="21"/>
  <c r="J57"/>
  <c r="J63"/>
  <c r="J61"/>
  <c r="I12" i="16" s="1"/>
  <c r="J50" i="21"/>
  <c r="J48"/>
  <c r="J62"/>
  <c r="J51"/>
  <c r="J49"/>
  <c r="J47"/>
  <c r="J54"/>
  <c r="J56"/>
  <c r="I52"/>
  <c r="J8" i="22"/>
  <c r="L5" i="21"/>
  <c r="K23"/>
  <c r="K6"/>
  <c r="J7" i="16" s="1"/>
  <c r="J7" i="21"/>
  <c r="J8" s="1"/>
  <c r="J10"/>
  <c r="J11"/>
  <c r="J12"/>
  <c r="J14"/>
  <c r="L5" i="22"/>
  <c r="K23"/>
  <c r="E75" i="21"/>
  <c r="E82" s="1"/>
  <c r="G75"/>
  <c r="G82" s="1"/>
  <c r="F75"/>
  <c r="F82" s="1"/>
  <c r="D75"/>
  <c r="D82" s="1"/>
  <c r="C75"/>
  <c r="C82" s="1"/>
  <c r="D25" i="16" l="1"/>
  <c r="D39" s="1"/>
  <c r="I13"/>
  <c r="I14"/>
  <c r="B18" i="21"/>
  <c r="C18" i="22" s="1"/>
  <c r="C17"/>
  <c r="L23" i="21"/>
  <c r="J52"/>
  <c r="K38" i="22" s="1"/>
  <c r="K48" i="21"/>
  <c r="K50"/>
  <c r="K51"/>
  <c r="K49"/>
  <c r="K54"/>
  <c r="K56"/>
  <c r="K63"/>
  <c r="K62"/>
  <c r="J13" i="16" s="1"/>
  <c r="K61" i="21"/>
  <c r="K47"/>
  <c r="K55"/>
  <c r="K57"/>
  <c r="I60"/>
  <c r="J38" i="22"/>
  <c r="J58" i="21"/>
  <c r="K44" i="22" s="1"/>
  <c r="K8"/>
  <c r="M5"/>
  <c r="L23"/>
  <c r="K7" i="21"/>
  <c r="K8" s="1"/>
  <c r="K11"/>
  <c r="L6"/>
  <c r="K10"/>
  <c r="K12"/>
  <c r="K14"/>
  <c r="M6" l="1"/>
  <c r="M50" s="1"/>
  <c r="K7" i="16"/>
  <c r="M23" i="22"/>
  <c r="N5"/>
  <c r="N23" s="1"/>
  <c r="M63" i="21"/>
  <c r="M57"/>
  <c r="M51"/>
  <c r="M48"/>
  <c r="M62"/>
  <c r="M54"/>
  <c r="M11"/>
  <c r="M14"/>
  <c r="M10"/>
  <c r="J12" i="16"/>
  <c r="J14"/>
  <c r="K52" i="21"/>
  <c r="J60"/>
  <c r="I11" i="16" s="1"/>
  <c r="L38" i="22"/>
  <c r="L61" i="21"/>
  <c r="K12" i="16" s="1"/>
  <c r="L54" i="21"/>
  <c r="L48"/>
  <c r="L57"/>
  <c r="L51"/>
  <c r="L47"/>
  <c r="L63"/>
  <c r="K14" i="16" s="1"/>
  <c r="L56" i="21"/>
  <c r="L50"/>
  <c r="L62"/>
  <c r="K13" i="16" s="1"/>
  <c r="L55" i="21"/>
  <c r="L49"/>
  <c r="K58"/>
  <c r="L44" i="22" s="1"/>
  <c r="L11" i="21"/>
  <c r="L7"/>
  <c r="L8" s="1"/>
  <c r="L10"/>
  <c r="L12"/>
  <c r="L14"/>
  <c r="L8" i="22"/>
  <c r="M7" i="21" l="1"/>
  <c r="M8" s="1"/>
  <c r="N8" i="22" s="1"/>
  <c r="M12" i="21"/>
  <c r="M61"/>
  <c r="M49"/>
  <c r="M55"/>
  <c r="M58" s="1"/>
  <c r="N44" i="22" s="1"/>
  <c r="M56" i="21"/>
  <c r="M47"/>
  <c r="M52" s="1"/>
  <c r="L52"/>
  <c r="L58"/>
  <c r="M44" i="22" s="1"/>
  <c r="K60" i="21"/>
  <c r="J11" i="16" s="1"/>
  <c r="M8" i="22"/>
  <c r="M60" i="21" l="1"/>
  <c r="M64" s="1"/>
  <c r="N38" i="22"/>
  <c r="M38"/>
  <c r="L60" i="21"/>
  <c r="K11" i="16" s="1"/>
  <c r="M67" i="21" l="1"/>
  <c r="N53" i="22" s="1"/>
  <c r="N50"/>
  <c r="L64" i="21"/>
  <c r="M50" i="22" s="1"/>
  <c r="J64" i="21"/>
  <c r="K50" i="22" s="1"/>
  <c r="H60" i="21"/>
  <c r="K64"/>
  <c r="L50" i="22" s="1"/>
  <c r="I64" i="21"/>
  <c r="J50" i="22" s="1"/>
  <c r="H64" i="21" l="1"/>
  <c r="I50" i="22" s="1"/>
  <c r="H11" i="16"/>
  <c r="G11"/>
  <c r="K67" i="21"/>
  <c r="L53" i="22" s="1"/>
  <c r="J67" i="21"/>
  <c r="K53" i="22" s="1"/>
  <c r="I67" i="21"/>
  <c r="J53" i="22" s="1"/>
  <c r="H67" i="21"/>
  <c r="I53" i="22" s="1"/>
  <c r="L67" i="21"/>
  <c r="M53" i="22" s="1"/>
  <c r="D13"/>
  <c r="D15" l="1"/>
  <c r="D26" l="1"/>
  <c r="D25" s="1"/>
  <c r="D18" l="1"/>
  <c r="E13"/>
  <c r="G13" i="21"/>
  <c r="G15" s="1"/>
  <c r="D17" i="22" l="1"/>
  <c r="H13"/>
  <c r="I13" s="1"/>
  <c r="J13" s="1"/>
  <c r="E15"/>
  <c r="H15"/>
  <c r="G24" i="21"/>
  <c r="G26" s="1"/>
  <c r="G15" i="22"/>
  <c r="F15"/>
  <c r="H13" i="21"/>
  <c r="H15" s="1"/>
  <c r="F13" i="22"/>
  <c r="G13"/>
  <c r="H24" i="21" l="1"/>
  <c r="I15" i="22"/>
  <c r="G26"/>
  <c r="G25" s="1"/>
  <c r="E26"/>
  <c r="E25" s="1"/>
  <c r="I13" i="21"/>
  <c r="I15" s="1"/>
  <c r="K13" i="22"/>
  <c r="F26"/>
  <c r="F25" s="1"/>
  <c r="H26"/>
  <c r="H25" s="1"/>
  <c r="I25" s="1"/>
  <c r="J25" s="1"/>
  <c r="K25" s="1"/>
  <c r="L25" s="1"/>
  <c r="M25" s="1"/>
  <c r="N25" s="1"/>
  <c r="G17" i="21"/>
  <c r="I25" l="1"/>
  <c r="J15" i="22"/>
  <c r="I24" i="21"/>
  <c r="B39" s="1"/>
  <c r="E17" i="22"/>
  <c r="E18"/>
  <c r="H17"/>
  <c r="I17" s="1"/>
  <c r="J17" s="1"/>
  <c r="K17" s="1"/>
  <c r="L17" s="1"/>
  <c r="M17" s="1"/>
  <c r="N17" s="1"/>
  <c r="G18" i="21"/>
  <c r="F17" i="22"/>
  <c r="F18"/>
  <c r="J13" i="21"/>
  <c r="J15" s="1"/>
  <c r="L13" i="22"/>
  <c r="G17"/>
  <c r="G18"/>
  <c r="H25" i="21"/>
  <c r="H26" s="1"/>
  <c r="H18" i="22" l="1"/>
  <c r="F6" i="16"/>
  <c r="F8" s="1"/>
  <c r="F16" s="1"/>
  <c r="I26" i="21"/>
  <c r="I17" s="1"/>
  <c r="I18" s="1"/>
  <c r="I26" i="22"/>
  <c r="H17" i="21"/>
  <c r="H18" s="1"/>
  <c r="K15" i="22"/>
  <c r="J24" i="21"/>
  <c r="C39" s="1"/>
  <c r="J25"/>
  <c r="M13" i="22"/>
  <c r="K13" i="21"/>
  <c r="K15" s="1"/>
  <c r="F25" i="16" l="1"/>
  <c r="F39" s="1"/>
  <c r="L13" i="21"/>
  <c r="L15" s="1"/>
  <c r="L24" s="1"/>
  <c r="E39" s="1"/>
  <c r="N13" i="22"/>
  <c r="M13" i="21" s="1"/>
  <c r="M15" s="1"/>
  <c r="I18" i="22"/>
  <c r="G6" i="16"/>
  <c r="G8" s="1"/>
  <c r="G16" s="1"/>
  <c r="B7" i="23" s="1"/>
  <c r="D7" s="1"/>
  <c r="J18" i="22"/>
  <c r="H6" i="16"/>
  <c r="H8" s="1"/>
  <c r="H16" s="1"/>
  <c r="B8" i="23" s="1"/>
  <c r="D8" s="1"/>
  <c r="J26" i="22"/>
  <c r="J26" i="21"/>
  <c r="J17" s="1"/>
  <c r="J18" s="1"/>
  <c r="K25"/>
  <c r="L15" i="22"/>
  <c r="K24" i="21"/>
  <c r="D39" s="1"/>
  <c r="M15" i="22"/>
  <c r="L25" i="21"/>
  <c r="N15" i="22" l="1"/>
  <c r="M24" i="21"/>
  <c r="M25"/>
  <c r="K26" i="22"/>
  <c r="K18"/>
  <c r="I6" i="16"/>
  <c r="I8" s="1"/>
  <c r="I16" s="1"/>
  <c r="B9" i="23" s="1"/>
  <c r="D9" s="1"/>
  <c r="L26" i="21"/>
  <c r="K26"/>
  <c r="M26" l="1"/>
  <c r="K17"/>
  <c r="K18" s="1"/>
  <c r="L26" i="22"/>
  <c r="M26"/>
  <c r="L17" i="21"/>
  <c r="L18" s="1"/>
  <c r="C40" i="11"/>
  <c r="D34" s="1"/>
  <c r="D40" s="1"/>
  <c r="E34" s="1"/>
  <c r="E40" s="1"/>
  <c r="N26" i="22" l="1"/>
  <c r="M17" i="21"/>
  <c r="M18" s="1"/>
  <c r="G9" i="23" s="1"/>
  <c r="L18" i="22"/>
  <c r="J6" i="16"/>
  <c r="J8" s="1"/>
  <c r="J16" s="1"/>
  <c r="B10" i="23" s="1"/>
  <c r="D10" s="1"/>
  <c r="M18" i="22"/>
  <c r="K6" i="16"/>
  <c r="K8" s="1"/>
  <c r="K16" s="1"/>
  <c r="B11" i="23" s="1"/>
  <c r="D11" s="1"/>
  <c r="F34" i="11"/>
  <c r="F40" s="1"/>
  <c r="G34" s="1"/>
  <c r="G40" s="1"/>
  <c r="N18" i="22" l="1"/>
  <c r="G7" i="23"/>
  <c r="G11"/>
  <c r="D12" l="1"/>
  <c r="D14" s="1"/>
  <c r="D18" s="1"/>
  <c r="D25" s="1"/>
  <c r="D28" s="1"/>
</calcChain>
</file>

<file path=xl/comments1.xml><?xml version="1.0" encoding="utf-8"?>
<comments xmlns="http://schemas.openxmlformats.org/spreadsheetml/2006/main">
  <authors>
    <author>David Wessels</author>
  </authors>
  <commentList>
    <comment ref="C38" authorId="0">
      <text>
        <r>
          <rPr>
            <b/>
            <sz val="8"/>
            <color indexed="81"/>
            <rFont val="Tahoma"/>
            <charset val="1"/>
          </rPr>
          <t>David Wessels:</t>
        </r>
        <r>
          <rPr>
            <sz val="8"/>
            <color indexed="81"/>
            <rFont val="Tahoma"/>
            <charset val="1"/>
          </rPr>
          <t xml:space="preserve">
Application of IAS 19.93 A (recognition of actuarial gains/losses and deferred tax thereon in equity) and IFRS 2 (recognition of share-based payments in the
statement of income).</t>
        </r>
      </text>
    </comment>
  </commentList>
</comments>
</file>

<file path=xl/comments2.xml><?xml version="1.0" encoding="utf-8"?>
<comments xmlns="http://schemas.openxmlformats.org/spreadsheetml/2006/main">
  <authors>
    <author>Jonathan Reef</author>
  </authors>
  <commentList>
    <comment ref="O18" authorId="0">
      <text>
        <r>
          <rPr>
            <b/>
            <sz val="8"/>
            <color indexed="81"/>
            <rFont val="Tahoma"/>
            <family val="2"/>
          </rPr>
          <t>Jonathan Reef:</t>
        </r>
        <r>
          <rPr>
            <sz val="8"/>
            <color indexed="81"/>
            <rFont val="Tahoma"/>
            <family val="2"/>
          </rPr>
          <t xml:space="preserve">
From 08 annual report: Effective 2008, German corporation tax legislation stipulates a statutory tax rate of 15 percent plus the solidarity surcharge of 5.5 percent. After taking into account trade tax, this yields an effective tax rate of 31%.</t>
        </r>
      </text>
    </comment>
  </commentList>
</comments>
</file>

<file path=xl/sharedStrings.xml><?xml version="1.0" encoding="utf-8"?>
<sst xmlns="http://schemas.openxmlformats.org/spreadsheetml/2006/main" count="330" uniqueCount="210">
  <si>
    <t>Other non-current liabilities</t>
  </si>
  <si>
    <t>Subscribed capital</t>
  </si>
  <si>
    <t>Capital reserve</t>
  </si>
  <si>
    <t>Retained earnings</t>
  </si>
  <si>
    <t>Gains and losses recognized in equity</t>
  </si>
  <si>
    <t>After-tax Operating Profits</t>
  </si>
  <si>
    <t>Liabilities and Equity</t>
  </si>
  <si>
    <t>n/a</t>
  </si>
  <si>
    <t>Cost of sales</t>
  </si>
  <si>
    <t>Gross profit</t>
  </si>
  <si>
    <t>Total current assets</t>
  </si>
  <si>
    <t>Operating profit</t>
  </si>
  <si>
    <t>Total assets</t>
  </si>
  <si>
    <t>Earnings before income taxes</t>
  </si>
  <si>
    <t>Total current liabilities</t>
  </si>
  <si>
    <t>Total liabilities</t>
  </si>
  <si>
    <t>Total liabilities and equity</t>
  </si>
  <si>
    <t>Invested Capital</t>
  </si>
  <si>
    <t>Net income</t>
  </si>
  <si>
    <t>General and administrative</t>
  </si>
  <si>
    <t>Income tax benefit (provision)</t>
  </si>
  <si>
    <t>Minority Interest</t>
  </si>
  <si>
    <t>Inventories</t>
  </si>
  <si>
    <t>Deferred income taxes</t>
  </si>
  <si>
    <t>Other current liabilities</t>
  </si>
  <si>
    <t>Henkel AG</t>
  </si>
  <si>
    <t>Pensions and similar obligations</t>
  </si>
  <si>
    <t>Other long-term provisions</t>
  </si>
  <si>
    <t>Long-term borrowings</t>
  </si>
  <si>
    <t>Deferred taxes</t>
  </si>
  <si>
    <t>Operating profit (EBIT)</t>
  </si>
  <si>
    <t>Other operating income</t>
  </si>
  <si>
    <t>Other operating  charges</t>
  </si>
  <si>
    <t>Marketing, selling, and distribution</t>
  </si>
  <si>
    <t>Interest (expense) income</t>
  </si>
  <si>
    <t>EUR millions</t>
  </si>
  <si>
    <t>Operating current assets</t>
  </si>
  <si>
    <t>Operating current liabilities</t>
  </si>
  <si>
    <t>Working capital</t>
  </si>
  <si>
    <t>Intangible assets</t>
  </si>
  <si>
    <t>Excess cash</t>
  </si>
  <si>
    <t>Total funds invested</t>
  </si>
  <si>
    <t>Working cash</t>
  </si>
  <si>
    <t>Net financial assets (assets - liabilites)</t>
  </si>
  <si>
    <t>Tax rates on investments</t>
  </si>
  <si>
    <t>Percent</t>
  </si>
  <si>
    <t>Marginal tax rate</t>
  </si>
  <si>
    <t>Marginal taxes on EBIT</t>
  </si>
  <si>
    <t>Assets</t>
  </si>
  <si>
    <t>Net revenues</t>
  </si>
  <si>
    <t>Debt &amp; debt equivalents</t>
  </si>
  <si>
    <t>Minority interest</t>
  </si>
  <si>
    <t>Operating taxes</t>
  </si>
  <si>
    <t>After-tax operating profits</t>
  </si>
  <si>
    <t>Tax free income</t>
  </si>
  <si>
    <t>Tax charge disclosed</t>
  </si>
  <si>
    <t>Earnings before taxes</t>
  </si>
  <si>
    <t xml:space="preserve">Research and development </t>
  </si>
  <si>
    <t>Other current assets</t>
  </si>
  <si>
    <t>Income tax refund claims</t>
  </si>
  <si>
    <t>Liquid funds/marketable securities</t>
  </si>
  <si>
    <t>Assets held for sale</t>
  </si>
  <si>
    <t>Investments in associates</t>
  </si>
  <si>
    <t>Other investments</t>
  </si>
  <si>
    <t>Other non current assets</t>
  </si>
  <si>
    <t>Short-term borrowings</t>
  </si>
  <si>
    <t>Current financial liabilities</t>
  </si>
  <si>
    <t>Income Statement</t>
  </si>
  <si>
    <t>Balance Sheet</t>
  </si>
  <si>
    <t>Investment result</t>
  </si>
  <si>
    <t>Other operating charges</t>
  </si>
  <si>
    <t>Write-downs of miscellaneous assets</t>
  </si>
  <si>
    <t xml:space="preserve">Losses on disposal of non-current assets </t>
  </si>
  <si>
    <t xml:space="preserve">Goodwill impairment losses </t>
  </si>
  <si>
    <t>Sundry operating expenses</t>
  </si>
  <si>
    <t>Release of doubtful debts</t>
  </si>
  <si>
    <t>Gains on disposal of non-current assets</t>
  </si>
  <si>
    <t>Profits on sale of businesses</t>
  </si>
  <si>
    <t>Release of provisions</t>
  </si>
  <si>
    <t>Write-ups of non-current assets</t>
  </si>
  <si>
    <t>Sundry operating income</t>
  </si>
  <si>
    <t>Current financial assets</t>
  </si>
  <si>
    <t>Long-term financial assets</t>
  </si>
  <si>
    <t>Accounts payable</t>
  </si>
  <si>
    <t>Noncurrent financial liabilities</t>
  </si>
  <si>
    <t>Taxes at statutory tax rate</t>
  </si>
  <si>
    <t>Operating</t>
  </si>
  <si>
    <t>Marginal</t>
  </si>
  <si>
    <t>Statutory</t>
  </si>
  <si>
    <t>Tax Breakout</t>
  </si>
  <si>
    <t>Nonoperating</t>
  </si>
  <si>
    <t>Effective taxes</t>
  </si>
  <si>
    <t>Tax Rates</t>
  </si>
  <si>
    <t>Effective tax rate</t>
  </si>
  <si>
    <t>Tax Reconciliation Table</t>
  </si>
  <si>
    <t>yes</t>
  </si>
  <si>
    <t>Other operating taxes</t>
  </si>
  <si>
    <t>Reconciliation of Total Funds Invested</t>
  </si>
  <si>
    <t>Taxes due to tax rate changes</t>
  </si>
  <si>
    <t>Other operating profit - net</t>
  </si>
  <si>
    <t>Restructuring charges</t>
  </si>
  <si>
    <t>Operating Taxes</t>
  </si>
  <si>
    <t>Invested capital</t>
  </si>
  <si>
    <t>Days Sales</t>
  </si>
  <si>
    <t>Tax increases/reductions for prior years</t>
  </si>
  <si>
    <t>Write-down of intangible assets</t>
  </si>
  <si>
    <t>Trade tax additions</t>
  </si>
  <si>
    <t>Non-deductible withholding tax</t>
  </si>
  <si>
    <t>Other non-deductible expenses</t>
  </si>
  <si>
    <t>Difference between local and domestic taxes</t>
  </si>
  <si>
    <t>Non-deductible losses</t>
  </si>
  <si>
    <t>Write-down of Ecolab sale</t>
  </si>
  <si>
    <t>Notes on "Trade Tax"</t>
  </si>
  <si>
    <t>The trade tax is levied on every trade or business (also permanent</t>
  </si>
  <si>
    <t>establishments) located in Germany. Municipalities are authorized</t>
  </si>
  <si>
    <t>to determine their own rate of assessment independently (as a multiplier</t>
  </si>
  <si>
    <t>not deductible as a business expense.</t>
  </si>
  <si>
    <t>of the base rate) which must be at least 200%. The trade tax is</t>
  </si>
  <si>
    <t>Property, plant, and equipment</t>
  </si>
  <si>
    <t>Trade accounts receivable</t>
  </si>
  <si>
    <t>Other short-term provisions</t>
  </si>
  <si>
    <t>Deferred taxes and tax provisions</t>
  </si>
  <si>
    <t>Income tax provisions and liabilities</t>
  </si>
  <si>
    <t>Other operating income, net</t>
  </si>
  <si>
    <t>Foreign exchange gains</t>
  </si>
  <si>
    <t>Foreign exchange losses</t>
  </si>
  <si>
    <t>Amortization of intangibles</t>
  </si>
  <si>
    <r>
      <t>Marketing, selling, and distribution</t>
    </r>
    <r>
      <rPr>
        <vertAlign val="superscript"/>
        <sz val="11"/>
        <rFont val="Calibri"/>
        <family val="2"/>
        <scheme val="minor"/>
      </rPr>
      <t>1</t>
    </r>
  </si>
  <si>
    <r>
      <t>Research and development</t>
    </r>
    <r>
      <rPr>
        <vertAlign val="superscript"/>
        <sz val="11"/>
        <rFont val="Calibri"/>
        <family val="2"/>
        <scheme val="minor"/>
      </rPr>
      <t>1</t>
    </r>
  </si>
  <si>
    <r>
      <t>Cost of sales</t>
    </r>
    <r>
      <rPr>
        <vertAlign val="superscript"/>
        <sz val="11"/>
        <rFont val="Calibri"/>
        <family val="2"/>
        <scheme val="minor"/>
      </rPr>
      <t>1</t>
    </r>
  </si>
  <si>
    <r>
      <t>General and administrative</t>
    </r>
    <r>
      <rPr>
        <vertAlign val="superscript"/>
        <sz val="11"/>
        <rFont val="Calibri"/>
        <family val="2"/>
        <scheme val="minor"/>
      </rPr>
      <t>1</t>
    </r>
  </si>
  <si>
    <t>Source: Henkel 2009 Annual Report, page 86.</t>
  </si>
  <si>
    <t>Free Cash Flow</t>
  </si>
  <si>
    <t>Invested capital without goodwill</t>
  </si>
  <si>
    <t>Invested capital with goodwill</t>
  </si>
  <si>
    <t>&lt;--------------------   Forecast Ratios   --------------------&gt;</t>
  </si>
  <si>
    <t>Reconciliation to Net Income</t>
  </si>
  <si>
    <t>Source: Henkel 2009 Annual Report, page 80</t>
  </si>
  <si>
    <t>Nonoperating taxes</t>
  </si>
  <si>
    <t>Source: Henkel 2009 Annual Report, page 81.</t>
  </si>
  <si>
    <t>Source: Henkel 2009 Annual Report, page 80.</t>
  </si>
  <si>
    <t>Source: Henkel 2009 Annual Report, note 6 (page 91) and note 7 (page 92)</t>
  </si>
  <si>
    <t>Note:</t>
  </si>
  <si>
    <t>Other nonoperating income</t>
  </si>
  <si>
    <t>Other nonoperating charges</t>
  </si>
  <si>
    <t>Other "operating" charges</t>
  </si>
  <si>
    <t>Other "operating" income</t>
  </si>
  <si>
    <t>Statement of Retained Earnings</t>
  </si>
  <si>
    <t>Starting retained earnings</t>
  </si>
  <si>
    <t>Dividends</t>
  </si>
  <si>
    <t>Ending retained earnings</t>
  </si>
  <si>
    <t>Source: Henkel 2009 Annual Report, page 83.</t>
  </si>
  <si>
    <t>Other nonoperating income, net</t>
  </si>
  <si>
    <t>Sale of treasury &amp; retirements</t>
  </si>
  <si>
    <t>Actuarial gains and losses</t>
  </si>
  <si>
    <t>Other "operating" income (charges), split into operating and nonoperating, net</t>
  </si>
  <si>
    <t>Amortization</t>
  </si>
  <si>
    <t>NOPLAT</t>
  </si>
  <si>
    <t>Depreciation</t>
  </si>
  <si>
    <t>Changes in Invested Capital</t>
  </si>
  <si>
    <t>Free cash flow</t>
  </si>
  <si>
    <t>Investments in nonoperating assets</t>
  </si>
  <si>
    <t>Sale of treasury shares and retirements</t>
  </si>
  <si>
    <t>Income prior to minority interest</t>
  </si>
  <si>
    <t>Net income to shareholders</t>
  </si>
  <si>
    <t>Depreciation and Amoritzation</t>
  </si>
  <si>
    <t>Balance sheet restatement</t>
  </si>
  <si>
    <t>Gross cash flow</t>
  </si>
  <si>
    <t>Cash flow available to investors</t>
  </si>
  <si>
    <t>Reconciliation of Cash Flow Available to Investors</t>
  </si>
  <si>
    <t>Debt and debt equivalents</t>
  </si>
  <si>
    <t>Continuing Value</t>
  </si>
  <si>
    <t>Year</t>
  </si>
  <si>
    <t>Discount factor</t>
  </si>
  <si>
    <t>Discounted cash flow</t>
  </si>
  <si>
    <t>C.V.</t>
  </si>
  <si>
    <t>Key Value Drivers</t>
  </si>
  <si>
    <t>ROIC</t>
  </si>
  <si>
    <t>WACC</t>
  </si>
  <si>
    <t>Spread</t>
  </si>
  <si>
    <t>Growth</t>
  </si>
  <si>
    <t>Core operating value</t>
  </si>
  <si>
    <t>Gross enterprise value</t>
  </si>
  <si>
    <t>Number of shares</t>
  </si>
  <si>
    <t>Intrinsic share price</t>
  </si>
  <si>
    <t>Enterprise Valuation</t>
  </si>
  <si>
    <t>&lt;----------------------------   Forecasts  ----------------------------&gt;</t>
  </si>
  <si>
    <t>Assumes growth occurs organically, without acquisition</t>
  </si>
  <si>
    <t>Depreciation (percent of sales)</t>
  </si>
  <si>
    <t>Supplemental Forecasts</t>
  </si>
  <si>
    <r>
      <t>Intangible assets</t>
    </r>
    <r>
      <rPr>
        <vertAlign val="superscript"/>
        <sz val="11"/>
        <rFont val="Calibri"/>
        <family val="2"/>
        <scheme val="minor"/>
      </rPr>
      <t>1</t>
    </r>
  </si>
  <si>
    <r>
      <t>Deferred taxes</t>
    </r>
    <r>
      <rPr>
        <vertAlign val="superscript"/>
        <sz val="11"/>
        <rFont val="Calibri"/>
        <family val="2"/>
        <scheme val="minor"/>
      </rPr>
      <t>3</t>
    </r>
  </si>
  <si>
    <r>
      <t>Minority interest</t>
    </r>
    <r>
      <rPr>
        <vertAlign val="superscript"/>
        <sz val="11"/>
        <rFont val="Calibri"/>
        <family val="2"/>
        <scheme val="minor"/>
      </rPr>
      <t>4</t>
    </r>
  </si>
  <si>
    <r>
      <t>Actuarial gains and losses</t>
    </r>
    <r>
      <rPr>
        <vertAlign val="superscript"/>
        <sz val="11"/>
        <rFont val="Calibri"/>
        <family val="2"/>
        <scheme val="minor"/>
      </rPr>
      <t>2</t>
    </r>
  </si>
  <si>
    <r>
      <t>Property, plant, and equipment</t>
    </r>
    <r>
      <rPr>
        <vertAlign val="superscript"/>
        <sz val="11"/>
        <rFont val="Calibri"/>
        <family val="2"/>
        <scheme val="minor"/>
      </rPr>
      <t>1</t>
    </r>
  </si>
  <si>
    <r>
      <rPr>
        <i/>
        <vertAlign val="superscript"/>
        <sz val="11"/>
        <rFont val="Calibri"/>
        <family val="2"/>
        <scheme val="minor"/>
      </rPr>
      <t xml:space="preserve">1 </t>
    </r>
    <r>
      <rPr>
        <i/>
        <sz val="11"/>
        <rFont val="Calibri"/>
        <family val="2"/>
        <scheme val="minor"/>
      </rPr>
      <t>Increase in Net PP&amp;E (intangible assets) plus depreciation (amortization); does not adjust for acquisitions, writeoffs, currency adjustments, etc.</t>
    </r>
  </si>
  <si>
    <t xml:space="preserve">retained earnings.  Since  actuarial gains and losses are noncash, they should be netted against those accounts in which the </t>
  </si>
  <si>
    <t>gain or loss occurred.  Henkel does not disclose this level of detail, so we leave it as a separate line item.</t>
  </si>
  <si>
    <t>retained earnings.</t>
  </si>
  <si>
    <t>Since classification of an item as ongoing and related to core operations is (somewhat) subjective, make sure</t>
  </si>
  <si>
    <t>to create a spreadsheet that provides for flexibility in treatment.</t>
  </si>
  <si>
    <t>Forecast Ratios, NOPLAT</t>
  </si>
  <si>
    <t>Forecast Ratios, Invested Capital</t>
  </si>
  <si>
    <t>Percent of Revenues</t>
  </si>
  <si>
    <t>&lt;------------------------   Forecast Ratios   -------------------------&gt;</t>
  </si>
  <si>
    <r>
      <t>Intrinsic value</t>
    </r>
    <r>
      <rPr>
        <vertAlign val="superscript"/>
        <sz val="11"/>
        <rFont val="Calibri"/>
        <family val="2"/>
        <scheme val="minor"/>
      </rPr>
      <t>1</t>
    </r>
  </si>
  <si>
    <r>
      <rPr>
        <i/>
        <vertAlign val="superscript"/>
        <sz val="11"/>
        <rFont val="Calibri"/>
        <family val="2"/>
        <scheme val="minor"/>
      </rPr>
      <t>2</t>
    </r>
    <r>
      <rPr>
        <i/>
        <sz val="11"/>
        <rFont val="Calibri"/>
        <family val="2"/>
        <scheme val="minor"/>
      </rPr>
      <t xml:space="preserve"> Change in gains and losses in equity plus change in actuarial gains and losses imbedded in retained earnings (see statement of</t>
    </r>
  </si>
  <si>
    <r>
      <rPr>
        <i/>
        <vertAlign val="superscript"/>
        <sz val="11"/>
        <rFont val="Calibri"/>
        <family val="2"/>
        <scheme val="minor"/>
      </rPr>
      <t xml:space="preserve">3  </t>
    </r>
    <r>
      <rPr>
        <i/>
        <sz val="11"/>
        <rFont val="Calibri"/>
        <family val="2"/>
        <scheme val="minor"/>
      </rPr>
      <t xml:space="preserve">Change in deferred tax liabilities less change in deferred tax assets.  For 2005, this number is adjusted by the restatement to </t>
    </r>
  </si>
  <si>
    <r>
      <rPr>
        <i/>
        <vertAlign val="superscript"/>
        <sz val="11"/>
        <rFont val="Calibri"/>
        <family val="2"/>
        <scheme val="minor"/>
      </rPr>
      <t>4</t>
    </r>
    <r>
      <rPr>
        <i/>
        <sz val="11"/>
        <rFont val="Calibri"/>
        <family val="2"/>
        <scheme val="minor"/>
      </rPr>
      <t xml:space="preserve"> Income attributable to minority interest less the increase in minority interest (on the balance sheet)</t>
    </r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</si>
  <si>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 For simplicity, nonoperating assets, debt, and debt quivalents each valued at book.  Deferred taxes not valued.</t>
    </r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</si>
</sst>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%"/>
    <numFmt numFmtId="165" formatCode="#,##0.0_);\(#,##0.0\)"/>
    <numFmt numFmtId="166" formatCode="#,##0\ ;\(#,##0.0\)"/>
    <numFmt numFmtId="167" formatCode="0.000"/>
    <numFmt numFmtId="168" formatCode="0.0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Helvetic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6" fontId="3" fillId="0" borderId="1"/>
    <xf numFmtId="9" fontId="1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0" applyFont="1"/>
    <xf numFmtId="0" fontId="7" fillId="0" borderId="0" xfId="0" applyFont="1"/>
    <xf numFmtId="0" fontId="7" fillId="2" borderId="1" xfId="0" applyFont="1" applyFill="1" applyBorder="1"/>
    <xf numFmtId="37" fontId="8" fillId="0" borderId="0" xfId="0" applyNumberFormat="1" applyFont="1" applyFill="1"/>
    <xf numFmtId="37" fontId="8" fillId="0" borderId="0" xfId="0" applyNumberFormat="1" applyFont="1"/>
    <xf numFmtId="0" fontId="6" fillId="0" borderId="1" xfId="0" applyFont="1" applyBorder="1"/>
    <xf numFmtId="37" fontId="8" fillId="0" borderId="1" xfId="0" applyNumberFormat="1" applyFont="1" applyFill="1" applyBorder="1"/>
    <xf numFmtId="37" fontId="6" fillId="0" borderId="0" xfId="0" applyNumberFormat="1" applyFont="1"/>
    <xf numFmtId="37" fontId="6" fillId="0" borderId="0" xfId="0" applyNumberFormat="1" applyFont="1" applyFill="1"/>
    <xf numFmtId="0" fontId="6" fillId="0" borderId="0" xfId="0" applyFont="1" applyBorder="1"/>
    <xf numFmtId="37" fontId="8" fillId="0" borderId="0" xfId="0" applyNumberFormat="1" applyFont="1" applyBorder="1"/>
    <xf numFmtId="37" fontId="8" fillId="0" borderId="1" xfId="0" applyNumberFormat="1" applyFont="1" applyBorder="1"/>
    <xf numFmtId="0" fontId="6" fillId="0" borderId="0" xfId="0" applyFont="1" applyFill="1"/>
    <xf numFmtId="0" fontId="6" fillId="0" borderId="1" xfId="0" applyFont="1" applyFill="1" applyBorder="1"/>
    <xf numFmtId="0" fontId="6" fillId="0" borderId="2" xfId="0" applyFont="1" applyBorder="1"/>
    <xf numFmtId="37" fontId="6" fillId="0" borderId="2" xfId="0" applyNumberFormat="1" applyFont="1" applyBorder="1"/>
    <xf numFmtId="165" fontId="6" fillId="0" borderId="0" xfId="0" applyNumberFormat="1" applyFont="1"/>
    <xf numFmtId="37" fontId="8" fillId="0" borderId="0" xfId="0" applyNumberFormat="1" applyFont="1" applyFill="1" applyBorder="1"/>
    <xf numFmtId="164" fontId="8" fillId="0" borderId="0" xfId="0" applyNumberFormat="1" applyFont="1"/>
    <xf numFmtId="164" fontId="8" fillId="0" borderId="0" xfId="2" applyNumberFormat="1" applyFont="1"/>
    <xf numFmtId="0" fontId="7" fillId="0" borderId="1" xfId="0" applyFont="1" applyFill="1" applyBorder="1"/>
    <xf numFmtId="37" fontId="6" fillId="0" borderId="1" xfId="0" applyNumberFormat="1" applyFont="1" applyBorder="1"/>
    <xf numFmtId="165" fontId="6" fillId="0" borderId="0" xfId="0" applyNumberFormat="1" applyFont="1" applyFill="1"/>
    <xf numFmtId="165" fontId="6" fillId="0" borderId="1" xfId="0" applyNumberFormat="1" applyFont="1" applyBorder="1"/>
    <xf numFmtId="0" fontId="6" fillId="0" borderId="3" xfId="0" applyFont="1" applyFill="1" applyBorder="1"/>
    <xf numFmtId="165" fontId="6" fillId="0" borderId="3" xfId="0" applyNumberFormat="1" applyFont="1" applyFill="1" applyBorder="1"/>
    <xf numFmtId="37" fontId="6" fillId="0" borderId="3" xfId="0" applyNumberFormat="1" applyFont="1" applyFill="1" applyBorder="1"/>
    <xf numFmtId="165" fontId="6" fillId="0" borderId="0" xfId="0" applyNumberFormat="1" applyFont="1" applyFill="1" applyBorder="1"/>
    <xf numFmtId="37" fontId="6" fillId="0" borderId="0" xfId="0" applyNumberFormat="1" applyFont="1" applyFill="1" applyBorder="1"/>
    <xf numFmtId="164" fontId="6" fillId="0" borderId="0" xfId="2" applyNumberFormat="1" applyFont="1"/>
    <xf numFmtId="165" fontId="6" fillId="0" borderId="1" xfId="0" applyNumberFormat="1" applyFont="1" applyFill="1" applyBorder="1"/>
    <xf numFmtId="37" fontId="6" fillId="0" borderId="1" xfId="0" applyNumberFormat="1" applyFont="1" applyFill="1" applyBorder="1"/>
    <xf numFmtId="0" fontId="7" fillId="0" borderId="2" xfId="0" applyFont="1" applyFill="1" applyBorder="1"/>
    <xf numFmtId="165" fontId="6" fillId="0" borderId="2" xfId="0" applyNumberFormat="1" applyFont="1" applyFill="1" applyBorder="1"/>
    <xf numFmtId="37" fontId="6" fillId="0" borderId="2" xfId="0" applyNumberFormat="1" applyFont="1" applyFill="1" applyBorder="1"/>
    <xf numFmtId="164" fontId="6" fillId="0" borderId="2" xfId="2" applyNumberFormat="1" applyFont="1" applyBorder="1"/>
    <xf numFmtId="0" fontId="6" fillId="0" borderId="0" xfId="0" applyFont="1" applyFill="1" applyBorder="1"/>
    <xf numFmtId="37" fontId="7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2" xfId="0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1" xfId="2" applyNumberFormat="1" applyFont="1" applyBorder="1"/>
    <xf numFmtId="37" fontId="6" fillId="0" borderId="0" xfId="0" applyNumberFormat="1" applyFont="1" applyBorder="1"/>
    <xf numFmtId="164" fontId="6" fillId="0" borderId="1" xfId="0" applyNumberFormat="1" applyFont="1" applyBorder="1"/>
    <xf numFmtId="164" fontId="6" fillId="0" borderId="0" xfId="2" applyNumberFormat="1" applyFont="1" applyBorder="1"/>
    <xf numFmtId="0" fontId="7" fillId="0" borderId="2" xfId="3" applyFont="1" applyFill="1" applyBorder="1"/>
    <xf numFmtId="164" fontId="8" fillId="0" borderId="1" xfId="0" applyNumberFormat="1" applyFont="1" applyBorder="1"/>
    <xf numFmtId="165" fontId="8" fillId="0" borderId="0" xfId="0" applyNumberFormat="1" applyFont="1"/>
    <xf numFmtId="165" fontId="8" fillId="0" borderId="1" xfId="0" applyNumberFormat="1" applyFont="1" applyBorder="1"/>
    <xf numFmtId="37" fontId="6" fillId="0" borderId="0" xfId="2" applyNumberFormat="1" applyFont="1"/>
    <xf numFmtId="37" fontId="8" fillId="0" borderId="0" xfId="2" applyNumberFormat="1" applyFont="1"/>
    <xf numFmtId="0" fontId="0" fillId="0" borderId="0" xfId="0" applyBorder="1"/>
    <xf numFmtId="37" fontId="0" fillId="0" borderId="0" xfId="0" applyNumberFormat="1"/>
    <xf numFmtId="0" fontId="12" fillId="0" borderId="0" xfId="0" applyFo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7" fontId="7" fillId="0" borderId="0" xfId="0" applyNumberFormat="1" applyFont="1"/>
    <xf numFmtId="37" fontId="1" fillId="0" borderId="2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center"/>
    </xf>
    <xf numFmtId="167" fontId="6" fillId="0" borderId="0" xfId="0" applyNumberFormat="1" applyFont="1"/>
    <xf numFmtId="165" fontId="6" fillId="0" borderId="2" xfId="0" applyNumberFormat="1" applyFont="1" applyBorder="1"/>
    <xf numFmtId="168" fontId="6" fillId="0" borderId="0" xfId="0" applyNumberFormat="1" applyFont="1"/>
    <xf numFmtId="0" fontId="6" fillId="0" borderId="0" xfId="0" applyFont="1" applyAlignment="1">
      <alignment vertical="center" textRotation="90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textRotation="90" wrapText="1"/>
    </xf>
    <xf numFmtId="0" fontId="7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</cellXfs>
  <cellStyles count="8">
    <cellStyle name="comma (0)" xfId="1"/>
    <cellStyle name="Comma 2" xfId="6"/>
    <cellStyle name="Normal" xfId="0" builtinId="0"/>
    <cellStyle name="Normal 2" xfId="5"/>
    <cellStyle name="Normal 3" xfId="3"/>
    <cellStyle name="Percent" xfId="2" builtinId="5"/>
    <cellStyle name="Percent 2" xfId="7"/>
    <cellStyle name="Percent 3" xfId="4"/>
  </cellStyles>
  <dxfs count="0"/>
  <tableStyles count="0" defaultTableStyle="TableStyleMedium9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134471</xdr:colOff>
      <xdr:row>8</xdr:row>
      <xdr:rowOff>112059</xdr:rowOff>
    </xdr:from>
    <xdr:to>
      <xdr:col>7</xdr:col>
      <xdr:colOff>459441</xdr:colOff>
      <xdr:row>8</xdr:row>
      <xdr:rowOff>113647</xdr:rowOff>
    </xdr:to>
    <xdr:cxnSp macro="">
      <xdr:nvCxnSpPr>
        <xdr:cNvPr id="4" name="Straight Arrow Connector 3"/>
        <xdr:cNvCxnSpPr/>
      </xdr:nvCxnSpPr>
      <xdr:spPr>
        <a:xfrm rot="10800000">
          <a:off x="5939118" y="1636059"/>
          <a:ext cx="324970" cy="1588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3"/>
  <sheetViews>
    <sheetView tabSelected="1" zoomScale="85" zoomScaleNormal="85" workbookViewId="0">
      <selection activeCell="A2" sqref="A2"/>
    </sheetView>
  </sheetViews>
  <sheetFormatPr defaultRowHeight="15" outlineLevelCol="1"/>
  <cols>
    <col min="1" max="1" width="36.28515625" style="1" customWidth="1"/>
    <col min="2" max="2" width="9" style="1" hidden="1" customWidth="1" outlineLevel="1"/>
    <col min="3" max="3" width="9" style="1" customWidth="1" collapsed="1"/>
    <col min="4" max="8" width="9" style="1" customWidth="1"/>
    <col min="9" max="9" width="38.7109375" style="1" customWidth="1"/>
    <col min="10" max="10" width="9" style="1" hidden="1" customWidth="1" outlineLevel="1"/>
    <col min="11" max="11" width="9" style="1" customWidth="1" collapsed="1"/>
    <col min="12" max="15" width="9" style="1" customWidth="1"/>
    <col min="16" max="16384" width="9.140625" style="1"/>
  </cols>
  <sheetData>
    <row r="2" spans="1:15">
      <c r="A2" s="2" t="s">
        <v>25</v>
      </c>
      <c r="I2" s="2" t="str">
        <f>company_name</f>
        <v>Henkel AG</v>
      </c>
    </row>
    <row r="3" spans="1:15">
      <c r="A3" s="1" t="s">
        <v>67</v>
      </c>
      <c r="I3" s="1" t="s">
        <v>68</v>
      </c>
    </row>
    <row r="5" spans="1:15">
      <c r="A5" s="3" t="s">
        <v>35</v>
      </c>
      <c r="B5" s="3">
        <v>2004</v>
      </c>
      <c r="C5" s="3">
        <v>2005</v>
      </c>
      <c r="D5" s="3">
        <f>C5+1</f>
        <v>2006</v>
      </c>
      <c r="E5" s="3">
        <f>D5+1</f>
        <v>2007</v>
      </c>
      <c r="F5" s="3">
        <f>E5+1</f>
        <v>2008</v>
      </c>
      <c r="G5" s="3">
        <v>2009</v>
      </c>
      <c r="I5" s="3" t="s">
        <v>48</v>
      </c>
      <c r="J5" s="3">
        <v>2004</v>
      </c>
      <c r="K5" s="3">
        <v>2005</v>
      </c>
      <c r="L5" s="3">
        <f>K5+1</f>
        <v>2006</v>
      </c>
      <c r="M5" s="3">
        <f>L5+1</f>
        <v>2007</v>
      </c>
      <c r="N5" s="3">
        <f>M5+1</f>
        <v>2008</v>
      </c>
      <c r="O5" s="3">
        <f>N5+1</f>
        <v>2009</v>
      </c>
    </row>
    <row r="6" spans="1:15">
      <c r="A6" s="1" t="s">
        <v>49</v>
      </c>
      <c r="B6" s="4">
        <v>10592</v>
      </c>
      <c r="C6" s="4">
        <v>11974</v>
      </c>
      <c r="D6" s="4">
        <v>12740</v>
      </c>
      <c r="E6" s="4">
        <v>13074</v>
      </c>
      <c r="F6" s="4">
        <v>14131</v>
      </c>
      <c r="G6" s="4">
        <v>13573</v>
      </c>
      <c r="I6" s="1" t="s">
        <v>60</v>
      </c>
      <c r="J6" s="5">
        <v>1695</v>
      </c>
      <c r="K6" s="5">
        <v>1212</v>
      </c>
      <c r="L6" s="5">
        <v>929</v>
      </c>
      <c r="M6" s="5">
        <v>1440</v>
      </c>
      <c r="N6" s="5">
        <v>338</v>
      </c>
      <c r="O6" s="5">
        <v>1110</v>
      </c>
    </row>
    <row r="7" spans="1:15">
      <c r="A7" s="6" t="s">
        <v>8</v>
      </c>
      <c r="B7" s="7">
        <v>-5615</v>
      </c>
      <c r="C7" s="7">
        <v>-6533</v>
      </c>
      <c r="D7" s="7">
        <v>-6963</v>
      </c>
      <c r="E7" s="7">
        <v>-7013</v>
      </c>
      <c r="F7" s="7">
        <v>-8190</v>
      </c>
      <c r="G7" s="7">
        <v>-7411</v>
      </c>
      <c r="I7" s="1" t="s">
        <v>22</v>
      </c>
      <c r="J7" s="5">
        <v>1196</v>
      </c>
      <c r="K7" s="5">
        <v>1232</v>
      </c>
      <c r="L7" s="5">
        <v>1325</v>
      </c>
      <c r="M7" s="5">
        <v>1283</v>
      </c>
      <c r="N7" s="5">
        <v>1482</v>
      </c>
      <c r="O7" s="5">
        <v>1218</v>
      </c>
    </row>
    <row r="8" spans="1:15">
      <c r="A8" s="1" t="s">
        <v>9</v>
      </c>
      <c r="B8" s="9">
        <f t="shared" ref="B8:G8" si="0">SUM(B6:B7)</f>
        <v>4977</v>
      </c>
      <c r="C8" s="9">
        <f t="shared" si="0"/>
        <v>5441</v>
      </c>
      <c r="D8" s="9">
        <f t="shared" si="0"/>
        <v>5777</v>
      </c>
      <c r="E8" s="9">
        <f t="shared" si="0"/>
        <v>6061</v>
      </c>
      <c r="F8" s="9">
        <f t="shared" si="0"/>
        <v>5941</v>
      </c>
      <c r="G8" s="9">
        <f t="shared" si="0"/>
        <v>6162</v>
      </c>
      <c r="I8" s="1" t="s">
        <v>119</v>
      </c>
      <c r="J8" s="5">
        <v>1743</v>
      </c>
      <c r="K8" s="5">
        <v>1794</v>
      </c>
      <c r="L8" s="5">
        <v>1868</v>
      </c>
      <c r="M8" s="5">
        <v>1694</v>
      </c>
      <c r="N8" s="5">
        <v>1847</v>
      </c>
      <c r="O8" s="5">
        <v>1721</v>
      </c>
    </row>
    <row r="9" spans="1:15">
      <c r="B9" s="9"/>
      <c r="C9" s="9"/>
      <c r="D9" s="8"/>
      <c r="E9" s="8"/>
      <c r="F9" s="8"/>
      <c r="G9" s="9"/>
      <c r="I9" s="1" t="s">
        <v>59</v>
      </c>
      <c r="J9" s="5">
        <v>0</v>
      </c>
      <c r="K9" s="5">
        <v>121</v>
      </c>
      <c r="L9" s="5">
        <v>110</v>
      </c>
      <c r="M9" s="5">
        <v>90</v>
      </c>
      <c r="N9" s="5">
        <v>202</v>
      </c>
      <c r="O9" s="5">
        <v>139</v>
      </c>
    </row>
    <row r="10" spans="1:15">
      <c r="A10" s="13" t="s">
        <v>33</v>
      </c>
      <c r="B10" s="4">
        <v>-3156</v>
      </c>
      <c r="C10" s="4">
        <v>-3409</v>
      </c>
      <c r="D10" s="5">
        <v>-3650</v>
      </c>
      <c r="E10" s="5">
        <v>-3748</v>
      </c>
      <c r="F10" s="5">
        <v>-3993</v>
      </c>
      <c r="G10" s="4">
        <v>-3926</v>
      </c>
      <c r="I10" s="1" t="s">
        <v>81</v>
      </c>
      <c r="J10" s="5">
        <v>0</v>
      </c>
      <c r="K10" s="5">
        <v>0</v>
      </c>
      <c r="L10" s="5">
        <v>124</v>
      </c>
      <c r="M10" s="5">
        <v>170</v>
      </c>
      <c r="N10" s="5">
        <v>575</v>
      </c>
      <c r="O10" s="5">
        <v>214</v>
      </c>
    </row>
    <row r="11" spans="1:15">
      <c r="A11" s="13" t="s">
        <v>57</v>
      </c>
      <c r="B11" s="4">
        <v>-272</v>
      </c>
      <c r="C11" s="4">
        <v>-324</v>
      </c>
      <c r="D11" s="5">
        <v>-340</v>
      </c>
      <c r="E11" s="5">
        <v>-350</v>
      </c>
      <c r="F11" s="5">
        <v>-429</v>
      </c>
      <c r="G11" s="4">
        <v>-396</v>
      </c>
      <c r="I11" s="10" t="s">
        <v>61</v>
      </c>
      <c r="J11" s="11">
        <v>0</v>
      </c>
      <c r="K11" s="11">
        <v>142</v>
      </c>
      <c r="L11" s="11">
        <v>14</v>
      </c>
      <c r="M11" s="11">
        <v>125</v>
      </c>
      <c r="N11" s="11">
        <v>113</v>
      </c>
      <c r="O11" s="11">
        <v>30</v>
      </c>
    </row>
    <row r="12" spans="1:15">
      <c r="A12" s="37" t="s">
        <v>19</v>
      </c>
      <c r="B12" s="4">
        <v>-570</v>
      </c>
      <c r="C12" s="4">
        <v>-627</v>
      </c>
      <c r="D12" s="5">
        <v>-697</v>
      </c>
      <c r="E12" s="5">
        <v>-664</v>
      </c>
      <c r="F12" s="5">
        <v>-825</v>
      </c>
      <c r="G12" s="4">
        <v>-735</v>
      </c>
      <c r="I12" s="6" t="s">
        <v>58</v>
      </c>
      <c r="J12" s="12">
        <v>777</v>
      </c>
      <c r="K12" s="12">
        <v>378</v>
      </c>
      <c r="L12" s="12">
        <v>312</v>
      </c>
      <c r="M12" s="12">
        <v>315</v>
      </c>
      <c r="N12" s="12">
        <v>256</v>
      </c>
      <c r="O12" s="12">
        <v>224</v>
      </c>
    </row>
    <row r="13" spans="1:15">
      <c r="A13" s="13" t="s">
        <v>31</v>
      </c>
      <c r="B13" s="4">
        <v>146</v>
      </c>
      <c r="C13" s="4">
        <v>183</v>
      </c>
      <c r="D13" s="4">
        <v>266</v>
      </c>
      <c r="E13" s="4">
        <v>109</v>
      </c>
      <c r="F13" s="4">
        <v>160</v>
      </c>
      <c r="G13" s="4">
        <v>140</v>
      </c>
      <c r="I13" s="1" t="s">
        <v>10</v>
      </c>
      <c r="J13" s="8">
        <f>SUM(J6:J12)</f>
        <v>5411</v>
      </c>
      <c r="K13" s="8">
        <f>SUM(K6:K12)</f>
        <v>4879</v>
      </c>
      <c r="L13" s="8">
        <f>SUM(L6:L12)</f>
        <v>4682</v>
      </c>
      <c r="M13" s="8">
        <f>SUM(M6:M12)</f>
        <v>5117</v>
      </c>
      <c r="N13" s="8">
        <f>SUM(N6:N12)</f>
        <v>4813</v>
      </c>
      <c r="O13" s="8">
        <v>4656</v>
      </c>
    </row>
    <row r="14" spans="1:15">
      <c r="A14" s="14" t="s">
        <v>32</v>
      </c>
      <c r="B14" s="7">
        <f>-103-200-22</f>
        <v>-325</v>
      </c>
      <c r="C14" s="7">
        <f>-78-24</f>
        <v>-102</v>
      </c>
      <c r="D14" s="7">
        <v>-58</v>
      </c>
      <c r="E14" s="7">
        <v>-64</v>
      </c>
      <c r="F14" s="7">
        <v>-75</v>
      </c>
      <c r="G14" s="7">
        <v>-165</v>
      </c>
    </row>
    <row r="15" spans="1:15">
      <c r="A15" s="13" t="s">
        <v>30</v>
      </c>
      <c r="B15" s="9">
        <f t="shared" ref="B15:G15" si="1">SUM(B8:B14)</f>
        <v>800</v>
      </c>
      <c r="C15" s="9">
        <f t="shared" si="1"/>
        <v>1162</v>
      </c>
      <c r="D15" s="9">
        <f t="shared" si="1"/>
        <v>1298</v>
      </c>
      <c r="E15" s="9">
        <f t="shared" si="1"/>
        <v>1344</v>
      </c>
      <c r="F15" s="9">
        <f t="shared" si="1"/>
        <v>779</v>
      </c>
      <c r="G15" s="9">
        <f t="shared" si="1"/>
        <v>1080</v>
      </c>
      <c r="I15" s="1" t="s">
        <v>118</v>
      </c>
      <c r="J15" s="5">
        <f>1808-463-442-133</f>
        <v>770</v>
      </c>
      <c r="K15" s="5">
        <f>2045-530-151</f>
        <v>1364</v>
      </c>
      <c r="L15" s="5">
        <f>2078-L18-L19</f>
        <v>1516</v>
      </c>
      <c r="M15" s="5">
        <f>2077-M18-M19</f>
        <v>1749</v>
      </c>
      <c r="N15" s="5">
        <f>2361-N18-N19</f>
        <v>2337</v>
      </c>
      <c r="O15" s="5">
        <v>2248</v>
      </c>
    </row>
    <row r="16" spans="1:15">
      <c r="B16" s="13"/>
      <c r="C16" s="13"/>
      <c r="I16" s="1" t="s">
        <v>39</v>
      </c>
      <c r="J16" s="5">
        <v>4554</v>
      </c>
      <c r="K16" s="5">
        <v>5660</v>
      </c>
      <c r="L16" s="5">
        <v>5487</v>
      </c>
      <c r="M16" s="5">
        <v>4940</v>
      </c>
      <c r="N16" s="5">
        <v>8392</v>
      </c>
      <c r="O16" s="5">
        <v>8218</v>
      </c>
    </row>
    <row r="17" spans="1:16">
      <c r="A17" s="10" t="s">
        <v>69</v>
      </c>
      <c r="B17" s="18">
        <f>-408+1770-242+162+2</f>
        <v>1284</v>
      </c>
      <c r="C17" s="18">
        <f>72+18</f>
        <v>90</v>
      </c>
      <c r="D17" s="11">
        <v>54</v>
      </c>
      <c r="E17" s="11">
        <f>88-4</f>
        <v>84</v>
      </c>
      <c r="F17" s="11">
        <v>1123</v>
      </c>
      <c r="G17" s="11">
        <v>-4</v>
      </c>
      <c r="J17" s="8"/>
      <c r="K17" s="8"/>
      <c r="L17" s="8"/>
      <c r="M17" s="8"/>
      <c r="N17" s="8"/>
      <c r="O17" s="8"/>
    </row>
    <row r="18" spans="1:16">
      <c r="A18" s="6" t="s">
        <v>34</v>
      </c>
      <c r="B18" s="7">
        <v>-163</v>
      </c>
      <c r="C18" s="7">
        <f>70-280</f>
        <v>-210</v>
      </c>
      <c r="D18" s="12">
        <v>-176</v>
      </c>
      <c r="E18" s="12">
        <v>-178</v>
      </c>
      <c r="F18" s="12">
        <v>-275</v>
      </c>
      <c r="G18" s="12">
        <v>-191</v>
      </c>
      <c r="I18" s="1" t="s">
        <v>62</v>
      </c>
      <c r="J18" s="5">
        <v>463</v>
      </c>
      <c r="K18" s="5">
        <v>530</v>
      </c>
      <c r="L18" s="5">
        <v>496</v>
      </c>
      <c r="M18" s="5">
        <v>295</v>
      </c>
      <c r="N18" s="5">
        <v>1</v>
      </c>
      <c r="O18" s="5">
        <v>0</v>
      </c>
      <c r="P18" s="8"/>
    </row>
    <row r="19" spans="1:16">
      <c r="A19" s="1" t="s">
        <v>13</v>
      </c>
      <c r="B19" s="8">
        <f t="shared" ref="B19:F19" si="2">SUM(B15:B18)</f>
        <v>1921</v>
      </c>
      <c r="C19" s="8">
        <f t="shared" si="2"/>
        <v>1042</v>
      </c>
      <c r="D19" s="8">
        <f t="shared" si="2"/>
        <v>1176</v>
      </c>
      <c r="E19" s="8">
        <f t="shared" si="2"/>
        <v>1250</v>
      </c>
      <c r="F19" s="8">
        <f t="shared" si="2"/>
        <v>1627</v>
      </c>
      <c r="G19" s="8">
        <f>SUM(G15:G18)</f>
        <v>885</v>
      </c>
      <c r="I19" s="1" t="s">
        <v>63</v>
      </c>
      <c r="J19" s="5">
        <f>442+133</f>
        <v>575</v>
      </c>
      <c r="K19" s="5">
        <v>151</v>
      </c>
      <c r="L19" s="5">
        <v>66</v>
      </c>
      <c r="M19" s="5">
        <v>33</v>
      </c>
      <c r="N19" s="5">
        <v>23</v>
      </c>
      <c r="O19" s="5">
        <v>0</v>
      </c>
    </row>
    <row r="20" spans="1:16">
      <c r="B20" s="9"/>
      <c r="C20" s="9"/>
      <c r="D20" s="8"/>
      <c r="E20" s="8"/>
      <c r="F20" s="8"/>
      <c r="G20" s="8"/>
      <c r="I20" s="1" t="s">
        <v>82</v>
      </c>
      <c r="J20" s="5">
        <v>1038</v>
      </c>
      <c r="K20" s="5">
        <v>681</v>
      </c>
      <c r="L20" s="5">
        <f>562+70</f>
        <v>632</v>
      </c>
      <c r="M20" s="5">
        <f>528+70</f>
        <v>598</v>
      </c>
      <c r="N20" s="5">
        <v>199</v>
      </c>
      <c r="O20" s="5">
        <v>360</v>
      </c>
    </row>
    <row r="21" spans="1:16">
      <c r="A21" s="6" t="s">
        <v>20</v>
      </c>
      <c r="B21" s="7">
        <v>-185</v>
      </c>
      <c r="C21" s="7">
        <v>-272</v>
      </c>
      <c r="D21" s="12">
        <v>-305</v>
      </c>
      <c r="E21" s="12">
        <v>-309</v>
      </c>
      <c r="F21" s="12">
        <v>-394</v>
      </c>
      <c r="G21" s="12">
        <v>-257</v>
      </c>
      <c r="I21" s="1" t="s">
        <v>23</v>
      </c>
      <c r="J21" s="5">
        <v>327</v>
      </c>
      <c r="K21" s="5">
        <v>456</v>
      </c>
      <c r="L21" s="5">
        <v>363</v>
      </c>
      <c r="M21" s="5">
        <v>249</v>
      </c>
      <c r="N21" s="5">
        <v>305</v>
      </c>
      <c r="O21" s="5">
        <v>322</v>
      </c>
    </row>
    <row r="22" spans="1:16">
      <c r="A22" s="10" t="s">
        <v>163</v>
      </c>
      <c r="B22" s="29">
        <f t="shared" ref="B22:G22" si="3">SUM(B19:B21)</f>
        <v>1736</v>
      </c>
      <c r="C22" s="29">
        <f t="shared" si="3"/>
        <v>770</v>
      </c>
      <c r="D22" s="29">
        <f t="shared" si="3"/>
        <v>871</v>
      </c>
      <c r="E22" s="29">
        <f t="shared" si="3"/>
        <v>941</v>
      </c>
      <c r="F22" s="29">
        <f t="shared" si="3"/>
        <v>1233</v>
      </c>
      <c r="G22" s="29">
        <f t="shared" si="3"/>
        <v>628</v>
      </c>
      <c r="I22" s="1" t="s">
        <v>64</v>
      </c>
      <c r="J22" s="5">
        <v>0</v>
      </c>
      <c r="K22" s="5">
        <v>223</v>
      </c>
      <c r="L22" s="5">
        <f>99+5</f>
        <v>104</v>
      </c>
      <c r="M22" s="5">
        <f>67</f>
        <v>67</v>
      </c>
      <c r="N22" s="5">
        <f>4</f>
        <v>4</v>
      </c>
      <c r="O22" s="5">
        <v>14</v>
      </c>
      <c r="P22" s="8"/>
    </row>
    <row r="23" spans="1:16" ht="15.75" thickBot="1">
      <c r="B23" s="9"/>
      <c r="C23" s="9"/>
      <c r="D23" s="8"/>
      <c r="E23" s="8"/>
      <c r="F23" s="8"/>
      <c r="G23" s="8"/>
      <c r="I23" s="15" t="s">
        <v>12</v>
      </c>
      <c r="J23" s="16">
        <f>SUM(J13:J22)</f>
        <v>13138</v>
      </c>
      <c r="K23" s="16">
        <f t="shared" ref="K23:O23" si="4">SUM(K13:K22)</f>
        <v>13944</v>
      </c>
      <c r="L23" s="16">
        <f t="shared" si="4"/>
        <v>13346</v>
      </c>
      <c r="M23" s="16">
        <f t="shared" si="4"/>
        <v>13048</v>
      </c>
      <c r="N23" s="16">
        <f t="shared" si="4"/>
        <v>16074</v>
      </c>
      <c r="O23" s="16">
        <f t="shared" si="4"/>
        <v>15818</v>
      </c>
    </row>
    <row r="24" spans="1:16" ht="15.75" thickTop="1">
      <c r="A24" s="1" t="s">
        <v>51</v>
      </c>
      <c r="B24" s="18">
        <v>-1</v>
      </c>
      <c r="C24" s="18">
        <v>-13</v>
      </c>
      <c r="D24" s="11">
        <v>-16</v>
      </c>
      <c r="E24" s="11">
        <v>-20</v>
      </c>
      <c r="F24" s="11">
        <v>-12</v>
      </c>
      <c r="G24" s="11">
        <v>-26</v>
      </c>
    </row>
    <row r="25" spans="1:16" ht="15.75" thickBot="1">
      <c r="A25" s="15" t="s">
        <v>164</v>
      </c>
      <c r="B25" s="16">
        <f t="shared" ref="B25:G25" si="5">SUM(B22:B24)</f>
        <v>1735</v>
      </c>
      <c r="C25" s="16">
        <f t="shared" si="5"/>
        <v>757</v>
      </c>
      <c r="D25" s="16">
        <f t="shared" si="5"/>
        <v>855</v>
      </c>
      <c r="E25" s="16">
        <f t="shared" si="5"/>
        <v>921</v>
      </c>
      <c r="F25" s="16">
        <f t="shared" si="5"/>
        <v>1221</v>
      </c>
      <c r="G25" s="16">
        <f t="shared" si="5"/>
        <v>602</v>
      </c>
      <c r="J25" s="17"/>
      <c r="K25" s="17"/>
      <c r="L25" s="17"/>
      <c r="M25" s="17"/>
      <c r="N25" s="17"/>
      <c r="O25" s="17"/>
    </row>
    <row r="26" spans="1:16" ht="15.75" thickTop="1">
      <c r="I26" s="3" t="s">
        <v>6</v>
      </c>
      <c r="J26" s="3">
        <v>2004</v>
      </c>
      <c r="K26" s="3">
        <v>2005</v>
      </c>
      <c r="L26" s="3">
        <f>K26+1</f>
        <v>2006</v>
      </c>
      <c r="M26" s="3">
        <f>L26+1</f>
        <v>2007</v>
      </c>
      <c r="N26" s="3">
        <f>M26+1</f>
        <v>2008</v>
      </c>
      <c r="O26" s="3">
        <f>N26+1</f>
        <v>2009</v>
      </c>
    </row>
    <row r="27" spans="1:16">
      <c r="A27" s="61" t="s">
        <v>140</v>
      </c>
      <c r="B27"/>
      <c r="C27"/>
      <c r="D27"/>
      <c r="E27"/>
      <c r="F27"/>
      <c r="G27"/>
      <c r="I27" s="1" t="s">
        <v>65</v>
      </c>
      <c r="J27" s="5">
        <v>1789</v>
      </c>
      <c r="K27" s="5">
        <v>1405</v>
      </c>
      <c r="L27" s="5">
        <v>1012</v>
      </c>
      <c r="M27" s="5">
        <v>838</v>
      </c>
      <c r="N27" s="5">
        <v>1817</v>
      </c>
      <c r="O27" s="5">
        <v>660</v>
      </c>
    </row>
    <row r="28" spans="1:16">
      <c r="A28"/>
      <c r="B28"/>
      <c r="C28"/>
      <c r="D28"/>
      <c r="E28"/>
      <c r="F28"/>
      <c r="G28"/>
      <c r="I28" s="1" t="s">
        <v>83</v>
      </c>
      <c r="J28" s="5">
        <v>1099</v>
      </c>
      <c r="K28" s="5">
        <v>1333</v>
      </c>
      <c r="L28" s="5">
        <v>1494</v>
      </c>
      <c r="M28" s="5">
        <v>1477</v>
      </c>
      <c r="N28" s="5">
        <v>1678</v>
      </c>
      <c r="O28" s="5">
        <v>1885</v>
      </c>
      <c r="P28" s="5"/>
    </row>
    <row r="29" spans="1:16">
      <c r="A29"/>
      <c r="B29"/>
      <c r="C29"/>
      <c r="D29"/>
      <c r="E29"/>
      <c r="F29"/>
      <c r="G29"/>
      <c r="I29" s="1" t="s">
        <v>122</v>
      </c>
      <c r="J29" s="5">
        <v>0</v>
      </c>
      <c r="K29" s="5">
        <v>0</v>
      </c>
      <c r="L29" s="5">
        <f>108+27</f>
        <v>135</v>
      </c>
      <c r="M29" s="5">
        <f>152+15</f>
        <v>167</v>
      </c>
      <c r="N29" s="5">
        <v>354</v>
      </c>
      <c r="O29" s="5">
        <v>234</v>
      </c>
      <c r="P29" s="5"/>
    </row>
    <row r="30" spans="1:16">
      <c r="A30" s="2" t="str">
        <f>company_name</f>
        <v>Henkel AG</v>
      </c>
      <c r="I30" s="1" t="s">
        <v>66</v>
      </c>
      <c r="J30" s="5">
        <v>0</v>
      </c>
      <c r="K30" s="5">
        <v>0</v>
      </c>
      <c r="L30" s="5">
        <v>93</v>
      </c>
      <c r="M30" s="5">
        <v>246</v>
      </c>
      <c r="N30" s="5">
        <v>272</v>
      </c>
      <c r="O30" s="5">
        <v>145</v>
      </c>
    </row>
    <row r="31" spans="1:16">
      <c r="A31" s="1" t="s">
        <v>147</v>
      </c>
      <c r="I31" s="1" t="s">
        <v>120</v>
      </c>
      <c r="J31" s="5">
        <v>0</v>
      </c>
      <c r="K31" s="5">
        <v>932</v>
      </c>
      <c r="L31" s="5">
        <v>884</v>
      </c>
      <c r="M31" s="5">
        <v>763</v>
      </c>
      <c r="N31" s="5">
        <v>866</v>
      </c>
      <c r="O31" s="5">
        <v>938</v>
      </c>
    </row>
    <row r="32" spans="1:16">
      <c r="I32" s="6" t="s">
        <v>24</v>
      </c>
      <c r="J32" s="12">
        <v>478</v>
      </c>
      <c r="K32" s="12">
        <v>455</v>
      </c>
      <c r="L32" s="12">
        <v>224</v>
      </c>
      <c r="M32" s="12">
        <v>200</v>
      </c>
      <c r="N32" s="12">
        <v>306</v>
      </c>
      <c r="O32" s="12">
        <v>251</v>
      </c>
    </row>
    <row r="33" spans="1:16">
      <c r="A33" s="3" t="str">
        <f>currency</f>
        <v>EUR millions</v>
      </c>
      <c r="B33" s="3">
        <f t="shared" ref="B33:G33" si="6">B5</f>
        <v>2004</v>
      </c>
      <c r="C33" s="3">
        <f t="shared" si="6"/>
        <v>2005</v>
      </c>
      <c r="D33" s="3">
        <f t="shared" si="6"/>
        <v>2006</v>
      </c>
      <c r="E33" s="3">
        <f t="shared" si="6"/>
        <v>2007</v>
      </c>
      <c r="F33" s="3">
        <f t="shared" si="6"/>
        <v>2008</v>
      </c>
      <c r="G33" s="3">
        <f t="shared" si="6"/>
        <v>2009</v>
      </c>
      <c r="I33" s="1" t="s">
        <v>14</v>
      </c>
      <c r="J33" s="8">
        <f t="shared" ref="J33:O33" si="7">SUM(J27:J32)</f>
        <v>3366</v>
      </c>
      <c r="K33" s="8">
        <f t="shared" si="7"/>
        <v>4125</v>
      </c>
      <c r="L33" s="8">
        <f t="shared" si="7"/>
        <v>3842</v>
      </c>
      <c r="M33" s="8">
        <f t="shared" si="7"/>
        <v>3691</v>
      </c>
      <c r="N33" s="8">
        <f t="shared" si="7"/>
        <v>5293</v>
      </c>
      <c r="O33" s="8">
        <f t="shared" si="7"/>
        <v>4113</v>
      </c>
    </row>
    <row r="34" spans="1:16">
      <c r="A34" s="1" t="s">
        <v>148</v>
      </c>
      <c r="B34" s="11">
        <f>2788+167</f>
        <v>2955</v>
      </c>
      <c r="C34" s="8">
        <f>B40</f>
        <v>4544</v>
      </c>
      <c r="D34" s="8">
        <f>C40</f>
        <v>4764</v>
      </c>
      <c r="E34" s="8">
        <f>D40</f>
        <v>5362</v>
      </c>
      <c r="F34" s="8">
        <f>E40</f>
        <v>5963</v>
      </c>
      <c r="G34" s="8">
        <f>F40</f>
        <v>6805</v>
      </c>
    </row>
    <row r="35" spans="1:16">
      <c r="A35" s="1" t="s">
        <v>18</v>
      </c>
      <c r="B35" s="8">
        <f t="shared" ref="B35:G35" si="8">B25</f>
        <v>1735</v>
      </c>
      <c r="C35" s="8">
        <f t="shared" si="8"/>
        <v>757</v>
      </c>
      <c r="D35" s="8">
        <f t="shared" si="8"/>
        <v>855</v>
      </c>
      <c r="E35" s="8">
        <f t="shared" si="8"/>
        <v>921</v>
      </c>
      <c r="F35" s="8">
        <f t="shared" si="8"/>
        <v>1221</v>
      </c>
      <c r="G35" s="8">
        <f t="shared" si="8"/>
        <v>602</v>
      </c>
      <c r="I35" s="1" t="s">
        <v>28</v>
      </c>
      <c r="J35" s="5">
        <f>1017+368</f>
        <v>1385</v>
      </c>
      <c r="K35" s="5">
        <v>2400</v>
      </c>
      <c r="L35" s="5">
        <v>2322</v>
      </c>
      <c r="M35" s="5">
        <v>2304</v>
      </c>
      <c r="N35" s="5">
        <v>2402</v>
      </c>
      <c r="O35" s="5">
        <v>3426</v>
      </c>
    </row>
    <row r="36" spans="1:16">
      <c r="A36" s="1" t="s">
        <v>149</v>
      </c>
      <c r="B36" s="11">
        <v>-167</v>
      </c>
      <c r="C36" s="11">
        <v>-181</v>
      </c>
      <c r="D36" s="11">
        <v>-190</v>
      </c>
      <c r="E36" s="11">
        <v>-211</v>
      </c>
      <c r="F36" s="11">
        <v>-224</v>
      </c>
      <c r="G36" s="11">
        <v>-224</v>
      </c>
      <c r="I36" s="1" t="s">
        <v>26</v>
      </c>
      <c r="J36" s="5">
        <v>1815</v>
      </c>
      <c r="K36" s="5">
        <v>1061</v>
      </c>
      <c r="L36" s="5">
        <v>788</v>
      </c>
      <c r="M36" s="5">
        <v>657</v>
      </c>
      <c r="N36" s="5">
        <v>833</v>
      </c>
      <c r="O36" s="5">
        <v>867</v>
      </c>
      <c r="P36" s="5"/>
    </row>
    <row r="37" spans="1:16">
      <c r="A37" s="1" t="s">
        <v>153</v>
      </c>
      <c r="B37" s="11">
        <v>0</v>
      </c>
      <c r="C37" s="11">
        <v>8</v>
      </c>
      <c r="D37" s="11">
        <v>47</v>
      </c>
      <c r="E37" s="11">
        <f>14-64</f>
        <v>-50</v>
      </c>
      <c r="F37" s="11">
        <f>4+1</f>
        <v>5</v>
      </c>
      <c r="G37" s="11">
        <f>6+4</f>
        <v>10</v>
      </c>
      <c r="I37" s="1" t="s">
        <v>84</v>
      </c>
      <c r="J37" s="5">
        <v>0</v>
      </c>
      <c r="K37" s="5">
        <v>0</v>
      </c>
      <c r="L37" s="5">
        <v>118</v>
      </c>
      <c r="M37" s="5">
        <v>147</v>
      </c>
      <c r="N37" s="5">
        <v>77</v>
      </c>
      <c r="O37" s="5">
        <v>88</v>
      </c>
      <c r="P37" s="5"/>
    </row>
    <row r="38" spans="1:16">
      <c r="A38" s="1" t="s">
        <v>166</v>
      </c>
      <c r="B38" s="11">
        <v>0</v>
      </c>
      <c r="C38" s="11">
        <v>-258</v>
      </c>
      <c r="D38" s="11">
        <v>0</v>
      </c>
      <c r="E38" s="11">
        <v>0</v>
      </c>
      <c r="F38" s="11">
        <v>0</v>
      </c>
      <c r="G38" s="11">
        <v>0</v>
      </c>
      <c r="I38" s="10" t="s">
        <v>121</v>
      </c>
      <c r="J38" s="11">
        <v>455</v>
      </c>
      <c r="K38" s="11">
        <f>473+427</f>
        <v>900</v>
      </c>
      <c r="L38" s="11">
        <f>427+168</f>
        <v>595</v>
      </c>
      <c r="M38" s="11">
        <f>314+100</f>
        <v>414</v>
      </c>
      <c r="N38" s="11">
        <v>589</v>
      </c>
      <c r="O38" s="11">
        <f>152+367</f>
        <v>519</v>
      </c>
      <c r="P38" s="5"/>
    </row>
    <row r="39" spans="1:16">
      <c r="A39" s="1" t="s">
        <v>154</v>
      </c>
      <c r="B39" s="11">
        <v>21</v>
      </c>
      <c r="C39" s="11">
        <f>-140+34</f>
        <v>-106</v>
      </c>
      <c r="D39" s="11">
        <f>-121+7</f>
        <v>-114</v>
      </c>
      <c r="E39" s="11">
        <f>-7-52</f>
        <v>-59</v>
      </c>
      <c r="F39" s="11">
        <f>-186+26</f>
        <v>-160</v>
      </c>
      <c r="G39" s="11">
        <v>-285</v>
      </c>
      <c r="I39" s="1" t="s">
        <v>27</v>
      </c>
      <c r="J39" s="5">
        <v>1513</v>
      </c>
      <c r="K39" s="5">
        <v>0</v>
      </c>
      <c r="L39" s="5">
        <v>126</v>
      </c>
      <c r="M39" s="5">
        <v>119</v>
      </c>
      <c r="N39" s="5">
        <v>336</v>
      </c>
      <c r="O39" s="5">
        <v>241</v>
      </c>
    </row>
    <row r="40" spans="1:16" ht="15.75" thickBot="1">
      <c r="A40" s="15" t="s">
        <v>150</v>
      </c>
      <c r="B40" s="16">
        <f t="shared" ref="B40:G40" si="9">SUM(B34:B39)</f>
        <v>4544</v>
      </c>
      <c r="C40" s="16">
        <f t="shared" si="9"/>
        <v>4764</v>
      </c>
      <c r="D40" s="16">
        <f t="shared" si="9"/>
        <v>5362</v>
      </c>
      <c r="E40" s="16">
        <f t="shared" si="9"/>
        <v>5963</v>
      </c>
      <c r="F40" s="16">
        <f t="shared" si="9"/>
        <v>6805</v>
      </c>
      <c r="G40" s="16">
        <f t="shared" si="9"/>
        <v>6908</v>
      </c>
      <c r="I40" s="6" t="s">
        <v>0</v>
      </c>
      <c r="J40" s="12">
        <v>0</v>
      </c>
      <c r="K40" s="12">
        <v>59</v>
      </c>
      <c r="L40" s="12">
        <v>8</v>
      </c>
      <c r="M40" s="12">
        <v>10</v>
      </c>
      <c r="N40" s="12">
        <v>9</v>
      </c>
      <c r="O40" s="12">
        <v>20</v>
      </c>
      <c r="P40" s="5"/>
    </row>
    <row r="41" spans="1:16" ht="15.75" thickTop="1">
      <c r="I41" s="1" t="s">
        <v>15</v>
      </c>
      <c r="J41" s="8">
        <f t="shared" ref="J41:O41" si="10">SUM(J33:J40)</f>
        <v>8534</v>
      </c>
      <c r="K41" s="8">
        <f t="shared" si="10"/>
        <v>8545</v>
      </c>
      <c r="L41" s="8">
        <f t="shared" si="10"/>
        <v>7799</v>
      </c>
      <c r="M41" s="8">
        <f t="shared" si="10"/>
        <v>7342</v>
      </c>
      <c r="N41" s="8">
        <f t="shared" si="10"/>
        <v>9539</v>
      </c>
      <c r="O41" s="8">
        <f t="shared" si="10"/>
        <v>9274</v>
      </c>
      <c r="P41" s="18"/>
    </row>
    <row r="42" spans="1:16">
      <c r="A42" s="61" t="s">
        <v>151</v>
      </c>
      <c r="C42" s="8"/>
    </row>
    <row r="43" spans="1:16">
      <c r="I43" s="1" t="s">
        <v>21</v>
      </c>
      <c r="J43" s="5">
        <v>16</v>
      </c>
      <c r="K43" s="5">
        <v>28</v>
      </c>
      <c r="L43" s="5">
        <v>60</v>
      </c>
      <c r="M43" s="5">
        <v>63</v>
      </c>
      <c r="N43" s="5">
        <v>51</v>
      </c>
      <c r="O43" s="5">
        <v>70</v>
      </c>
    </row>
    <row r="44" spans="1:16">
      <c r="J44" s="8"/>
      <c r="K44" s="8"/>
      <c r="L44" s="8"/>
      <c r="M44" s="8"/>
      <c r="N44" s="8"/>
      <c r="O44" s="8"/>
    </row>
    <row r="45" spans="1:16">
      <c r="I45" s="1" t="s">
        <v>1</v>
      </c>
      <c r="J45" s="5">
        <v>374</v>
      </c>
      <c r="K45" s="5">
        <v>374</v>
      </c>
      <c r="L45" s="5">
        <v>374</v>
      </c>
      <c r="M45" s="5">
        <v>438</v>
      </c>
      <c r="N45" s="5">
        <v>438</v>
      </c>
      <c r="O45" s="5">
        <v>438</v>
      </c>
    </row>
    <row r="46" spans="1:16">
      <c r="I46" s="1" t="s">
        <v>2</v>
      </c>
      <c r="J46" s="5">
        <v>652</v>
      </c>
      <c r="K46" s="5">
        <v>652</v>
      </c>
      <c r="L46" s="5">
        <v>652</v>
      </c>
      <c r="M46" s="5">
        <v>652</v>
      </c>
      <c r="N46" s="5">
        <v>652</v>
      </c>
      <c r="O46" s="5">
        <v>652</v>
      </c>
    </row>
    <row r="47" spans="1:16">
      <c r="I47" s="1" t="s">
        <v>3</v>
      </c>
      <c r="J47" s="5">
        <f>4359+185</f>
        <v>4544</v>
      </c>
      <c r="K47" s="5">
        <v>4764</v>
      </c>
      <c r="L47" s="5">
        <v>5362</v>
      </c>
      <c r="M47" s="5">
        <v>5963</v>
      </c>
      <c r="N47" s="5">
        <v>6805</v>
      </c>
      <c r="O47" s="5">
        <v>6908</v>
      </c>
    </row>
    <row r="48" spans="1:16">
      <c r="I48" s="1" t="s">
        <v>4</v>
      </c>
      <c r="J48" s="5">
        <v>-982</v>
      </c>
      <c r="K48" s="5">
        <v>-419</v>
      </c>
      <c r="L48" s="5">
        <v>-901</v>
      </c>
      <c r="M48" s="5">
        <v>-1410</v>
      </c>
      <c r="N48" s="5">
        <v>-1411</v>
      </c>
      <c r="O48" s="5">
        <v>-1524</v>
      </c>
    </row>
    <row r="49" spans="9:15" ht="15.75" thickBot="1">
      <c r="I49" s="15" t="s">
        <v>16</v>
      </c>
      <c r="J49" s="16">
        <f>SUM(J41:J48)</f>
        <v>13138</v>
      </c>
      <c r="K49" s="16">
        <f t="shared" ref="K49:O49" si="11">SUM(K41:K48)</f>
        <v>13944</v>
      </c>
      <c r="L49" s="16">
        <f t="shared" si="11"/>
        <v>13346</v>
      </c>
      <c r="M49" s="16">
        <f t="shared" si="11"/>
        <v>13048</v>
      </c>
      <c r="N49" s="16">
        <f t="shared" si="11"/>
        <v>16074</v>
      </c>
      <c r="O49" s="16">
        <f t="shared" si="11"/>
        <v>15818</v>
      </c>
    </row>
    <row r="50" spans="9:15" ht="15.75" thickTop="1"/>
    <row r="51" spans="9:15">
      <c r="I51" s="61" t="s">
        <v>139</v>
      </c>
      <c r="N51" s="8"/>
    </row>
    <row r="53" spans="9:15">
      <c r="N53" s="8"/>
    </row>
  </sheetData>
  <pageMargins left="0.7" right="0.7" top="0.75" bottom="0.25" header="0.3" footer="0.3"/>
  <pageSetup scale="70" orientation="landscape" r:id="rId1"/>
  <headerFooter>
    <oddHeader>&amp;C&amp;"Calibri,Bold"&amp;12Henkel AG
FInancial Statements</oddHeader>
  </headerFooter>
  <ignoredErrors>
    <ignoredError sqref="G8 K13 J14:K22 J13 J24:K3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U54"/>
  <sheetViews>
    <sheetView zoomScale="90" zoomScaleNormal="90" workbookViewId="0">
      <selection activeCell="A2" sqref="A2"/>
    </sheetView>
  </sheetViews>
  <sheetFormatPr defaultRowHeight="15" outlineLevelCol="1"/>
  <cols>
    <col min="1" max="1" width="39.140625" style="1" customWidth="1"/>
    <col min="2" max="2" width="9.140625" style="1" hidden="1" customWidth="1" outlineLevel="1"/>
    <col min="3" max="3" width="9.140625" style="1" collapsed="1"/>
    <col min="4" max="7" width="9.140625" style="1"/>
    <col min="8" max="8" width="14.7109375" style="1" customWidth="1"/>
    <col min="10" max="10" width="27.140625" customWidth="1"/>
    <col min="11" max="11" width="9.140625" hidden="1" customWidth="1" outlineLevel="1"/>
    <col min="12" max="12" width="9.140625" collapsed="1"/>
    <col min="22" max="16384" width="9.140625" style="1"/>
  </cols>
  <sheetData>
    <row r="2" spans="1:21">
      <c r="A2" s="2" t="str">
        <f>company_name</f>
        <v>Henkel AG</v>
      </c>
      <c r="I2" s="1"/>
      <c r="J2" s="2" t="str">
        <f>company_name</f>
        <v>Henkel AG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0" t="s">
        <v>123</v>
      </c>
      <c r="I3" s="1"/>
      <c r="J3" s="1" t="s">
        <v>100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J4" s="1"/>
      <c r="K4" s="1"/>
      <c r="L4" s="1"/>
      <c r="M4" s="1"/>
      <c r="N4" s="1"/>
      <c r="O4" s="1"/>
      <c r="P4" s="1"/>
    </row>
    <row r="5" spans="1:21">
      <c r="A5" s="3" t="s">
        <v>31</v>
      </c>
      <c r="B5" s="3">
        <v>2004</v>
      </c>
      <c r="C5" s="3">
        <v>2005</v>
      </c>
      <c r="D5" s="3">
        <f>C5+1</f>
        <v>2006</v>
      </c>
      <c r="E5" s="3">
        <f>D5+1</f>
        <v>2007</v>
      </c>
      <c r="F5" s="3">
        <f>E5+1</f>
        <v>2008</v>
      </c>
      <c r="G5" s="3">
        <v>2009</v>
      </c>
      <c r="H5" s="62" t="s">
        <v>86</v>
      </c>
      <c r="I5" s="1"/>
      <c r="J5" s="3" t="str">
        <f>currency</f>
        <v>EUR millions</v>
      </c>
      <c r="K5" s="3">
        <v>2004</v>
      </c>
      <c r="L5" s="3">
        <v>2005</v>
      </c>
      <c r="M5" s="3">
        <f>L5+1</f>
        <v>2006</v>
      </c>
      <c r="N5" s="3">
        <f>M5+1</f>
        <v>2007</v>
      </c>
      <c r="O5" s="3">
        <f>N5+1</f>
        <v>2008</v>
      </c>
      <c r="P5" s="3">
        <v>2009</v>
      </c>
      <c r="Q5" s="1"/>
      <c r="R5" s="1"/>
      <c r="S5" s="1"/>
      <c r="T5" s="1"/>
      <c r="U5" s="1"/>
    </row>
    <row r="6" spans="1:21">
      <c r="A6" s="1" t="s">
        <v>76</v>
      </c>
      <c r="B6" s="4">
        <v>17</v>
      </c>
      <c r="C6" s="4">
        <v>9</v>
      </c>
      <c r="D6" s="4">
        <v>44</v>
      </c>
      <c r="E6" s="4">
        <v>14</v>
      </c>
      <c r="F6" s="4">
        <v>14</v>
      </c>
      <c r="G6" s="4">
        <v>10</v>
      </c>
      <c r="H6" s="41"/>
      <c r="I6" s="1"/>
      <c r="J6" s="10" t="s">
        <v>8</v>
      </c>
      <c r="K6" s="1"/>
      <c r="L6" s="1"/>
      <c r="M6" s="1"/>
      <c r="N6" s="1"/>
      <c r="O6" s="5">
        <v>373</v>
      </c>
      <c r="P6" s="5">
        <v>70</v>
      </c>
      <c r="Q6" s="1"/>
      <c r="R6" s="1"/>
      <c r="S6" s="1"/>
      <c r="T6" s="1"/>
      <c r="U6" s="1"/>
    </row>
    <row r="7" spans="1:21">
      <c r="A7" s="1" t="s">
        <v>77</v>
      </c>
      <c r="B7" s="4">
        <v>0</v>
      </c>
      <c r="C7" s="4">
        <v>0</v>
      </c>
      <c r="D7" s="4">
        <v>57</v>
      </c>
      <c r="E7" s="4">
        <v>0</v>
      </c>
      <c r="F7" s="4">
        <v>8</v>
      </c>
      <c r="G7" s="4">
        <v>0</v>
      </c>
      <c r="H7" s="41"/>
      <c r="I7" s="1"/>
      <c r="J7" s="1" t="s">
        <v>33</v>
      </c>
      <c r="K7" s="1"/>
      <c r="L7" s="1"/>
      <c r="M7" s="1"/>
      <c r="N7" s="1"/>
      <c r="O7" s="5">
        <v>111</v>
      </c>
      <c r="P7" s="5">
        <v>52</v>
      </c>
      <c r="Q7" s="1"/>
      <c r="R7" s="1"/>
      <c r="S7" s="1"/>
      <c r="T7" s="1"/>
      <c r="U7" s="1"/>
    </row>
    <row r="8" spans="1:21">
      <c r="A8" s="1" t="s">
        <v>78</v>
      </c>
      <c r="B8" s="4">
        <v>15</v>
      </c>
      <c r="C8" s="4">
        <v>31</v>
      </c>
      <c r="D8" s="4">
        <f>58+43</f>
        <v>101</v>
      </c>
      <c r="E8" s="4">
        <v>35</v>
      </c>
      <c r="F8" s="4">
        <v>44</v>
      </c>
      <c r="G8" s="4">
        <v>38</v>
      </c>
      <c r="H8" s="41" t="s">
        <v>95</v>
      </c>
      <c r="I8" s="1"/>
      <c r="J8" s="1" t="s">
        <v>57</v>
      </c>
      <c r="K8" s="1"/>
      <c r="L8" s="1"/>
      <c r="M8" s="1"/>
      <c r="N8" s="1"/>
      <c r="O8" s="5">
        <v>52</v>
      </c>
      <c r="P8" s="5">
        <v>13</v>
      </c>
      <c r="Q8" s="1"/>
      <c r="R8" s="1"/>
      <c r="S8" s="1"/>
      <c r="T8" s="1"/>
      <c r="U8" s="1"/>
    </row>
    <row r="9" spans="1:21">
      <c r="A9" s="1" t="s">
        <v>75</v>
      </c>
      <c r="B9" s="4">
        <v>3</v>
      </c>
      <c r="C9" s="4">
        <v>4</v>
      </c>
      <c r="D9" s="4">
        <v>4</v>
      </c>
      <c r="E9" s="4">
        <v>6</v>
      </c>
      <c r="F9" s="4">
        <v>6</v>
      </c>
      <c r="G9" s="4">
        <v>2</v>
      </c>
      <c r="H9" s="41" t="s">
        <v>95</v>
      </c>
      <c r="I9" s="1"/>
      <c r="J9" s="6" t="s">
        <v>19</v>
      </c>
      <c r="K9" s="6"/>
      <c r="L9" s="6"/>
      <c r="M9" s="6"/>
      <c r="N9" s="6"/>
      <c r="O9" s="12">
        <v>127</v>
      </c>
      <c r="P9" s="12">
        <v>24</v>
      </c>
      <c r="Q9" s="1"/>
      <c r="R9" s="1"/>
      <c r="S9" s="1"/>
      <c r="T9" s="1"/>
      <c r="U9" s="1"/>
    </row>
    <row r="10" spans="1:21" ht="15.75" thickBot="1">
      <c r="A10" s="1" t="s">
        <v>79</v>
      </c>
      <c r="B10" s="4">
        <v>3</v>
      </c>
      <c r="C10" s="4">
        <v>7</v>
      </c>
      <c r="D10" s="4">
        <v>1</v>
      </c>
      <c r="E10" s="4">
        <v>3</v>
      </c>
      <c r="F10" s="4">
        <v>0</v>
      </c>
      <c r="G10" s="4">
        <v>3</v>
      </c>
      <c r="H10" s="41"/>
      <c r="I10" s="1"/>
      <c r="J10" s="43" t="s">
        <v>100</v>
      </c>
      <c r="K10" s="15"/>
      <c r="L10" s="15"/>
      <c r="M10" s="15"/>
      <c r="N10" s="15"/>
      <c r="O10" s="16">
        <f>SUM(O6:O9)</f>
        <v>663</v>
      </c>
      <c r="P10" s="16">
        <f>SUM(P6:P9)</f>
        <v>159</v>
      </c>
      <c r="Q10" s="1"/>
      <c r="R10" s="1"/>
      <c r="S10" s="1"/>
      <c r="T10" s="1"/>
      <c r="U10" s="1"/>
    </row>
    <row r="11" spans="1:21" ht="15.75" thickTop="1">
      <c r="A11" s="1" t="s">
        <v>124</v>
      </c>
      <c r="B11" s="4">
        <v>22</v>
      </c>
      <c r="C11" s="4">
        <v>37</v>
      </c>
      <c r="D11" s="4">
        <v>32</v>
      </c>
      <c r="E11" s="4">
        <v>0</v>
      </c>
      <c r="F11" s="4">
        <v>0</v>
      </c>
      <c r="G11" s="4">
        <v>0</v>
      </c>
      <c r="H11" s="4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6" t="s">
        <v>80</v>
      </c>
      <c r="B12" s="7">
        <v>62</v>
      </c>
      <c r="C12" s="7">
        <v>95</v>
      </c>
      <c r="D12" s="7">
        <v>59</v>
      </c>
      <c r="E12" s="7">
        <v>51</v>
      </c>
      <c r="F12" s="7">
        <v>88</v>
      </c>
      <c r="G12" s="7">
        <v>87</v>
      </c>
      <c r="H12" s="41" t="s">
        <v>95</v>
      </c>
      <c r="I12" s="1"/>
      <c r="J12" s="61" t="s">
        <v>137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 t="s">
        <v>146</v>
      </c>
      <c r="B13" s="8">
        <v>146</v>
      </c>
      <c r="C13" s="9">
        <f t="shared" ref="C13:F13" si="0">SUM(C6:C12)</f>
        <v>183</v>
      </c>
      <c r="D13" s="9">
        <f t="shared" si="0"/>
        <v>298</v>
      </c>
      <c r="E13" s="9">
        <f t="shared" si="0"/>
        <v>109</v>
      </c>
      <c r="F13" s="9">
        <f t="shared" si="0"/>
        <v>160</v>
      </c>
      <c r="G13" s="9">
        <f>SUM(G6:G12)</f>
        <v>140</v>
      </c>
      <c r="H13" s="4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B14" s="8"/>
      <c r="C14" s="9"/>
      <c r="D14" s="9"/>
      <c r="E14" s="9"/>
      <c r="F14" s="9"/>
      <c r="G14" s="9"/>
      <c r="H14" s="41"/>
      <c r="I14" s="1"/>
      <c r="Q14" s="1"/>
      <c r="R14" s="1"/>
      <c r="S14" s="1"/>
      <c r="T14" s="1"/>
      <c r="U14" s="1"/>
    </row>
    <row r="15" spans="1:21">
      <c r="A15" s="1" t="s">
        <v>31</v>
      </c>
      <c r="B15" s="50">
        <f t="shared" ref="B15" si="1">SUMIF($H$6:$H$12, "=yes", B6:B12)</f>
        <v>80</v>
      </c>
      <c r="C15" s="50">
        <f t="shared" ref="C15:F15" si="2">SUMIF($H$6:$H$12, "=yes", C6:C12)</f>
        <v>130</v>
      </c>
      <c r="D15" s="50">
        <f t="shared" si="2"/>
        <v>164</v>
      </c>
      <c r="E15" s="50">
        <f t="shared" si="2"/>
        <v>92</v>
      </c>
      <c r="F15" s="50">
        <f t="shared" si="2"/>
        <v>138</v>
      </c>
      <c r="G15" s="50">
        <f t="shared" ref="G15" si="3">SUMIF($H$6:$H$12, "=yes", G6:G12)</f>
        <v>127</v>
      </c>
      <c r="H15" s="41"/>
      <c r="I15" s="1"/>
      <c r="J15" s="2" t="str">
        <f>company_name</f>
        <v>Henkel AG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6" t="s">
        <v>143</v>
      </c>
      <c r="B16" s="22">
        <f t="shared" ref="B16" si="4">B17-B15</f>
        <v>66</v>
      </c>
      <c r="C16" s="22">
        <f t="shared" ref="C16:F16" si="5">C17-C15</f>
        <v>53</v>
      </c>
      <c r="D16" s="22">
        <f t="shared" si="5"/>
        <v>134</v>
      </c>
      <c r="E16" s="22">
        <f t="shared" si="5"/>
        <v>17</v>
      </c>
      <c r="F16" s="22">
        <f t="shared" si="5"/>
        <v>22</v>
      </c>
      <c r="G16" s="22">
        <f t="shared" ref="G16" si="6">G17-G15</f>
        <v>13</v>
      </c>
      <c r="I16" s="1"/>
      <c r="J16" s="1" t="s">
        <v>165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 t="s">
        <v>146</v>
      </c>
      <c r="B17" s="8">
        <f t="shared" ref="B17" si="7">B13</f>
        <v>146</v>
      </c>
      <c r="C17" s="8">
        <f t="shared" ref="C17:F17" si="8">C13</f>
        <v>183</v>
      </c>
      <c r="D17" s="8">
        <f t="shared" si="8"/>
        <v>298</v>
      </c>
      <c r="E17" s="8">
        <f t="shared" si="8"/>
        <v>109</v>
      </c>
      <c r="F17" s="8">
        <f t="shared" si="8"/>
        <v>160</v>
      </c>
      <c r="G17" s="8">
        <f t="shared" ref="G17" si="9">G13</f>
        <v>140</v>
      </c>
      <c r="I17" s="1"/>
      <c r="Q17" s="1"/>
      <c r="R17" s="1"/>
      <c r="S17" s="1"/>
      <c r="T17" s="1"/>
      <c r="U17" s="1"/>
    </row>
    <row r="18" spans="1:21">
      <c r="I18" s="1"/>
      <c r="J18" s="3" t="str">
        <f>currency</f>
        <v>EUR millions</v>
      </c>
      <c r="K18" s="3">
        <v>2004</v>
      </c>
      <c r="L18" s="3">
        <v>2005</v>
      </c>
      <c r="M18" s="3">
        <f>L18+1</f>
        <v>2006</v>
      </c>
      <c r="N18" s="3">
        <f>M18+1</f>
        <v>2007</v>
      </c>
      <c r="O18" s="3">
        <f>N18+1</f>
        <v>2008</v>
      </c>
      <c r="P18" s="3">
        <v>2009</v>
      </c>
      <c r="Q18" s="1"/>
      <c r="R18" s="1"/>
      <c r="S18" s="1"/>
      <c r="T18" s="1"/>
      <c r="U18" s="1"/>
    </row>
    <row r="19" spans="1:21">
      <c r="I19" s="1"/>
      <c r="J19" s="1" t="s">
        <v>158</v>
      </c>
      <c r="K19" s="5">
        <v>252</v>
      </c>
      <c r="L19" s="5">
        <v>279</v>
      </c>
      <c r="M19" s="5">
        <v>282</v>
      </c>
      <c r="N19" s="5">
        <v>279</v>
      </c>
      <c r="O19" s="5">
        <v>298</v>
      </c>
      <c r="P19" s="5">
        <v>308</v>
      </c>
      <c r="Q19" s="1"/>
      <c r="R19" s="1"/>
      <c r="S19" s="1"/>
      <c r="T19" s="1"/>
      <c r="U19" s="1"/>
    </row>
    <row r="20" spans="1:21">
      <c r="A20" s="3" t="s">
        <v>70</v>
      </c>
      <c r="B20" s="3">
        <v>2004</v>
      </c>
      <c r="C20" s="3">
        <f>C5</f>
        <v>2005</v>
      </c>
      <c r="D20" s="3">
        <f t="shared" ref="D20:G20" si="10">D5</f>
        <v>2006</v>
      </c>
      <c r="E20" s="3">
        <f t="shared" si="10"/>
        <v>2007</v>
      </c>
      <c r="F20" s="3">
        <f t="shared" si="10"/>
        <v>2008</v>
      </c>
      <c r="G20" s="3">
        <f t="shared" si="10"/>
        <v>2009</v>
      </c>
      <c r="H20" s="62" t="s">
        <v>86</v>
      </c>
      <c r="I20" s="1"/>
      <c r="J20" s="1" t="s">
        <v>126</v>
      </c>
      <c r="K20" s="5">
        <v>268</v>
      </c>
      <c r="L20" s="5">
        <v>49</v>
      </c>
      <c r="M20" s="5">
        <v>53</v>
      </c>
      <c r="N20" s="5">
        <v>56</v>
      </c>
      <c r="O20" s="5">
        <v>95</v>
      </c>
      <c r="P20" s="5">
        <v>108</v>
      </c>
      <c r="Q20" s="1"/>
      <c r="R20" s="1"/>
      <c r="S20" s="1"/>
      <c r="T20" s="1"/>
      <c r="U20" s="1"/>
    </row>
    <row r="21" spans="1:21">
      <c r="A21" s="1" t="s">
        <v>71</v>
      </c>
      <c r="B21" s="5">
        <v>9</v>
      </c>
      <c r="C21" s="5">
        <v>6</v>
      </c>
      <c r="D21" s="5">
        <v>2</v>
      </c>
      <c r="E21" s="5">
        <v>5</v>
      </c>
      <c r="F21" s="5">
        <v>4</v>
      </c>
      <c r="G21" s="4">
        <v>0</v>
      </c>
      <c r="H21" s="41"/>
      <c r="I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 t="s">
        <v>125</v>
      </c>
      <c r="B22" s="5">
        <v>30</v>
      </c>
      <c r="C22" s="5">
        <v>31</v>
      </c>
      <c r="D22" s="5">
        <v>35</v>
      </c>
      <c r="E22" s="5">
        <v>0</v>
      </c>
      <c r="F22" s="5">
        <v>0</v>
      </c>
      <c r="G22" s="4">
        <v>0</v>
      </c>
      <c r="H22" s="41"/>
      <c r="I22" s="1"/>
      <c r="J22" s="61" t="s">
        <v>131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 t="s">
        <v>72</v>
      </c>
      <c r="B23" s="5">
        <v>3</v>
      </c>
      <c r="C23" s="5">
        <v>3</v>
      </c>
      <c r="D23" s="5">
        <v>7</v>
      </c>
      <c r="E23" s="5">
        <v>6</v>
      </c>
      <c r="F23" s="5">
        <v>17</v>
      </c>
      <c r="G23" s="4">
        <v>22</v>
      </c>
      <c r="H23" s="4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 t="s">
        <v>73</v>
      </c>
      <c r="B24" s="5">
        <f>200+22</f>
        <v>222</v>
      </c>
      <c r="C24" s="5">
        <v>24</v>
      </c>
      <c r="D24" s="5">
        <v>0</v>
      </c>
      <c r="E24" s="5">
        <v>9</v>
      </c>
      <c r="F24" s="5">
        <v>0</v>
      </c>
      <c r="G24" s="4">
        <v>46</v>
      </c>
      <c r="H24" s="4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6" t="s">
        <v>74</v>
      </c>
      <c r="B25" s="12">
        <v>61</v>
      </c>
      <c r="C25" s="12">
        <v>38</v>
      </c>
      <c r="D25" s="12">
        <v>46</v>
      </c>
      <c r="E25" s="12">
        <v>44</v>
      </c>
      <c r="F25" s="12">
        <v>54</v>
      </c>
      <c r="G25" s="7">
        <v>97</v>
      </c>
      <c r="H25" s="41" t="s">
        <v>95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 t="s">
        <v>145</v>
      </c>
      <c r="B26" s="9">
        <f t="shared" ref="B26:F26" si="11">SUM(B21:B25)</f>
        <v>325</v>
      </c>
      <c r="C26" s="9">
        <f t="shared" si="11"/>
        <v>102</v>
      </c>
      <c r="D26" s="9">
        <f t="shared" si="11"/>
        <v>90</v>
      </c>
      <c r="E26" s="9">
        <f t="shared" si="11"/>
        <v>64</v>
      </c>
      <c r="F26" s="9">
        <f t="shared" si="11"/>
        <v>75</v>
      </c>
      <c r="G26" s="9">
        <f>SUM(G21:G25)</f>
        <v>165</v>
      </c>
      <c r="H26" s="4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C27" s="13"/>
      <c r="D27" s="13"/>
      <c r="E27" s="13"/>
      <c r="F27" s="13"/>
      <c r="G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 t="s">
        <v>70</v>
      </c>
      <c r="B28" s="50">
        <f t="shared" ref="B28" si="12">SUMIF($H$21:$H$25, "=yes",B21:B25)</f>
        <v>61</v>
      </c>
      <c r="C28" s="50">
        <f t="shared" ref="C28:F28" si="13">SUMIF($H$21:$H$25, "=yes",C21:C25)</f>
        <v>38</v>
      </c>
      <c r="D28" s="50">
        <f t="shared" si="13"/>
        <v>46</v>
      </c>
      <c r="E28" s="50">
        <f t="shared" si="13"/>
        <v>44</v>
      </c>
      <c r="F28" s="50">
        <f t="shared" si="13"/>
        <v>54</v>
      </c>
      <c r="G28" s="50">
        <f t="shared" ref="G28" si="14">SUMIF($H$21:$H$25, "=yes",G21:G25)</f>
        <v>97</v>
      </c>
      <c r="H28" s="6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6" t="s">
        <v>144</v>
      </c>
      <c r="B29" s="22">
        <f t="shared" ref="B29:F29" si="15">B30-B28</f>
        <v>264</v>
      </c>
      <c r="C29" s="22">
        <f t="shared" si="15"/>
        <v>64</v>
      </c>
      <c r="D29" s="22">
        <f t="shared" si="15"/>
        <v>44</v>
      </c>
      <c r="E29" s="22">
        <f t="shared" si="15"/>
        <v>20</v>
      </c>
      <c r="F29" s="22">
        <f t="shared" si="15"/>
        <v>21</v>
      </c>
      <c r="G29" s="22">
        <f>G30-G28</f>
        <v>68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 t="s">
        <v>145</v>
      </c>
      <c r="B30" s="8">
        <f t="shared" ref="B30" si="16">B26</f>
        <v>325</v>
      </c>
      <c r="C30" s="8">
        <f t="shared" ref="C30:F30" si="17">C26</f>
        <v>102</v>
      </c>
      <c r="D30" s="8">
        <f t="shared" si="17"/>
        <v>90</v>
      </c>
      <c r="E30" s="8">
        <f t="shared" si="17"/>
        <v>64</v>
      </c>
      <c r="F30" s="8">
        <f t="shared" si="17"/>
        <v>75</v>
      </c>
      <c r="G30" s="8">
        <f t="shared" ref="G30" si="18">G26</f>
        <v>165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" t="str">
        <f>company_name</f>
        <v>Henkel AG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0" t="s">
        <v>155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3" t="str">
        <f>currency</f>
        <v>EUR millions</v>
      </c>
      <c r="B36" s="3">
        <f t="shared" ref="B36:G36" si="19">B5</f>
        <v>2004</v>
      </c>
      <c r="C36" s="3">
        <f t="shared" si="19"/>
        <v>2005</v>
      </c>
      <c r="D36" s="3">
        <f t="shared" si="19"/>
        <v>2006</v>
      </c>
      <c r="E36" s="3">
        <f t="shared" si="19"/>
        <v>2007</v>
      </c>
      <c r="F36" s="3">
        <f t="shared" si="19"/>
        <v>2008</v>
      </c>
      <c r="G36" s="3">
        <f t="shared" si="19"/>
        <v>2009</v>
      </c>
    </row>
    <row r="37" spans="1:21">
      <c r="A37" s="10" t="s">
        <v>123</v>
      </c>
      <c r="B37" s="50">
        <f t="shared" ref="B37" si="20">B15-B28</f>
        <v>19</v>
      </c>
      <c r="C37" s="50">
        <f t="shared" ref="C37:F37" si="21">C15-C28</f>
        <v>92</v>
      </c>
      <c r="D37" s="50">
        <f t="shared" si="21"/>
        <v>118</v>
      </c>
      <c r="E37" s="50">
        <f t="shared" si="21"/>
        <v>48</v>
      </c>
      <c r="F37" s="50">
        <f t="shared" si="21"/>
        <v>84</v>
      </c>
      <c r="G37" s="50">
        <f t="shared" ref="G37:G38" si="22">G15-G28</f>
        <v>30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0" t="s">
        <v>152</v>
      </c>
      <c r="B38" s="50">
        <f t="shared" ref="B38" si="23">B16-B29</f>
        <v>-198</v>
      </c>
      <c r="C38" s="50">
        <f t="shared" ref="C38:F38" si="24">C16-C29</f>
        <v>-11</v>
      </c>
      <c r="D38" s="50">
        <f t="shared" si="24"/>
        <v>90</v>
      </c>
      <c r="E38" s="50">
        <f t="shared" si="24"/>
        <v>-3</v>
      </c>
      <c r="F38" s="50">
        <f t="shared" si="24"/>
        <v>1</v>
      </c>
      <c r="G38" s="50">
        <f t="shared" si="22"/>
        <v>-55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G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61" t="s">
        <v>141</v>
      </c>
      <c r="B40"/>
      <c r="C40"/>
      <c r="D40"/>
      <c r="E40"/>
      <c r="F40"/>
      <c r="G4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/>
      <c r="B41"/>
      <c r="C41"/>
      <c r="D41"/>
      <c r="E41"/>
      <c r="F41"/>
      <c r="G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2" t="s">
        <v>142</v>
      </c>
      <c r="B42"/>
      <c r="C42"/>
      <c r="D42"/>
      <c r="E42"/>
      <c r="F42"/>
      <c r="G4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61" t="s">
        <v>199</v>
      </c>
      <c r="B43"/>
      <c r="C43"/>
      <c r="D43"/>
      <c r="E43"/>
      <c r="F43"/>
      <c r="G4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61" t="s">
        <v>200</v>
      </c>
      <c r="B44"/>
      <c r="C44"/>
      <c r="D44"/>
      <c r="E44"/>
      <c r="F44"/>
      <c r="G44"/>
    </row>
    <row r="45" spans="1:21">
      <c r="B45"/>
      <c r="C45"/>
      <c r="D45"/>
      <c r="E45"/>
      <c r="F45"/>
      <c r="G4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B46"/>
      <c r="C46"/>
      <c r="D46"/>
      <c r="E46"/>
      <c r="F46"/>
      <c r="G4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/>
      <c r="B47"/>
      <c r="C47"/>
      <c r="D47"/>
      <c r="E47"/>
      <c r="F47"/>
      <c r="G4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50" spans="9:21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9:21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3" spans="9:21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9:21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</sheetData>
  <pageMargins left="0.45" right="0.45" top="0.75" bottom="0.75" header="0.3" footer="0.3"/>
  <pageSetup scale="70" orientation="landscape" r:id="rId1"/>
  <headerFooter>
    <oddHeader>&amp;C&amp;"Calibri,Bold"&amp;12Henkel AG
Supplemental Financial Statements</oddHeader>
  </headerFooter>
  <ignoredErrors>
    <ignoredError sqref="G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M100"/>
  <sheetViews>
    <sheetView zoomScale="85" zoomScaleNormal="85" workbookViewId="0">
      <selection activeCell="A2" sqref="A2"/>
    </sheetView>
  </sheetViews>
  <sheetFormatPr defaultRowHeight="15" outlineLevelCol="1"/>
  <cols>
    <col min="1" max="1" width="42" style="1" customWidth="1"/>
    <col min="2" max="2" width="9.140625" style="1" hidden="1" customWidth="1" outlineLevel="1"/>
    <col min="3" max="3" width="9.85546875" style="1" customWidth="1" collapsed="1"/>
    <col min="4" max="7" width="9.85546875" style="1" customWidth="1"/>
    <col min="8" max="13" width="9.85546875" customWidth="1"/>
    <col min="14" max="16384" width="9.140625" style="1"/>
  </cols>
  <sheetData>
    <row r="2" spans="1:13">
      <c r="A2" s="2" t="str">
        <f>company_name</f>
        <v>Henkel AG</v>
      </c>
    </row>
    <row r="3" spans="1:13">
      <c r="A3" s="1" t="s">
        <v>5</v>
      </c>
      <c r="H3" s="73" t="s">
        <v>186</v>
      </c>
      <c r="I3" s="73"/>
      <c r="J3" s="73"/>
      <c r="K3" s="73"/>
      <c r="L3" s="73"/>
      <c r="M3" s="73"/>
    </row>
    <row r="5" spans="1:13">
      <c r="A5" s="3" t="str">
        <f>Financials!A5</f>
        <v>EUR millions</v>
      </c>
      <c r="B5" s="3">
        <f>Financials!B5</f>
        <v>2004</v>
      </c>
      <c r="C5" s="3">
        <f>Financials!C5</f>
        <v>2005</v>
      </c>
      <c r="D5" s="3">
        <f>Financials!D5</f>
        <v>2006</v>
      </c>
      <c r="E5" s="3">
        <f>Financials!E5</f>
        <v>2007</v>
      </c>
      <c r="F5" s="3">
        <f>Financials!F5</f>
        <v>2008</v>
      </c>
      <c r="G5" s="3">
        <f>Financials!G5</f>
        <v>2009</v>
      </c>
      <c r="H5" s="3">
        <f t="shared" ref="H5:M5" si="0">G5+1</f>
        <v>2010</v>
      </c>
      <c r="I5" s="3">
        <f t="shared" si="0"/>
        <v>2011</v>
      </c>
      <c r="J5" s="3">
        <f t="shared" si="0"/>
        <v>2012</v>
      </c>
      <c r="K5" s="3">
        <f t="shared" si="0"/>
        <v>2013</v>
      </c>
      <c r="L5" s="3">
        <f t="shared" si="0"/>
        <v>2014</v>
      </c>
      <c r="M5" s="3">
        <f t="shared" si="0"/>
        <v>2015</v>
      </c>
    </row>
    <row r="6" spans="1:13">
      <c r="A6" s="1" t="s">
        <v>49</v>
      </c>
      <c r="B6" s="8">
        <f>Financials!B6</f>
        <v>10592</v>
      </c>
      <c r="C6" s="8">
        <f>Financials!C6</f>
        <v>11974</v>
      </c>
      <c r="D6" s="8">
        <f>Financials!D6</f>
        <v>12740</v>
      </c>
      <c r="E6" s="8">
        <f>Financials!E6</f>
        <v>13074</v>
      </c>
      <c r="F6" s="8">
        <f>Financials!F6</f>
        <v>14131</v>
      </c>
      <c r="G6" s="8">
        <f>Financials!G6</f>
        <v>13573</v>
      </c>
      <c r="H6" s="8">
        <f>G6*(1+Forecasts!I6)</f>
        <v>14387.380000000001</v>
      </c>
      <c r="I6" s="8">
        <f>H6*(1+Forecasts!J6)</f>
        <v>14890.9383</v>
      </c>
      <c r="J6" s="8">
        <f>I6*(1+Forecasts!K6)</f>
        <v>15412.121140499999</v>
      </c>
      <c r="K6" s="8">
        <f>J6*(1+Forecasts!L6)</f>
        <v>16028.605986119999</v>
      </c>
      <c r="L6" s="8">
        <f>K6*(1+Forecasts!M6)</f>
        <v>16669.7502255648</v>
      </c>
      <c r="M6" s="8">
        <f>L6*(1+Forecasts!N6)</f>
        <v>17169.842732331745</v>
      </c>
    </row>
    <row r="7" spans="1:13" ht="17.25">
      <c r="A7" s="6" t="s">
        <v>129</v>
      </c>
      <c r="B7" s="22">
        <f>Financials!B7+Supplemental!K6</f>
        <v>-5615</v>
      </c>
      <c r="C7" s="22">
        <f>Financials!C7+Supplemental!L6</f>
        <v>-6533</v>
      </c>
      <c r="D7" s="22">
        <f>Financials!D7+Supplemental!M6</f>
        <v>-6963</v>
      </c>
      <c r="E7" s="22">
        <f>Financials!E7+Supplemental!N6</f>
        <v>-7013</v>
      </c>
      <c r="F7" s="22">
        <f>Financials!F7+Supplemental!O6</f>
        <v>-7817</v>
      </c>
      <c r="G7" s="22">
        <f>Financials!G7+Supplemental!P6</f>
        <v>-7341</v>
      </c>
      <c r="H7" s="22">
        <f>-H$6*Forecasts!I7</f>
        <v>-7781.46</v>
      </c>
      <c r="I7" s="22">
        <f>-I$6*Forecasts!J7</f>
        <v>-8053.811099999999</v>
      </c>
      <c r="J7" s="22">
        <f>-J$6*Forecasts!K7</f>
        <v>-8335.6944884999994</v>
      </c>
      <c r="K7" s="22">
        <f>-K$6*Forecasts!L7</f>
        <v>-8669.1222680399987</v>
      </c>
      <c r="L7" s="22">
        <f>-L$6*Forecasts!M7</f>
        <v>-9015.8871587615995</v>
      </c>
      <c r="M7" s="22">
        <f>-M$6*Forecasts!N7</f>
        <v>-9286.3637735244483</v>
      </c>
    </row>
    <row r="8" spans="1:13">
      <c r="A8" s="1" t="s">
        <v>9</v>
      </c>
      <c r="B8" s="8">
        <f t="shared" ref="B8:F8" si="1">SUM(B6:B7)</f>
        <v>4977</v>
      </c>
      <c r="C8" s="8">
        <f t="shared" si="1"/>
        <v>5441</v>
      </c>
      <c r="D8" s="8">
        <f t="shared" si="1"/>
        <v>5777</v>
      </c>
      <c r="E8" s="8">
        <f t="shared" si="1"/>
        <v>6061</v>
      </c>
      <c r="F8" s="8">
        <f t="shared" si="1"/>
        <v>6314</v>
      </c>
      <c r="G8" s="8">
        <f t="shared" ref="G8" si="2">SUM(G6:G7)</f>
        <v>6232</v>
      </c>
      <c r="H8" s="8">
        <f t="shared" ref="H8" si="3">SUM(H6:H7)</f>
        <v>6605.920000000001</v>
      </c>
      <c r="I8" s="8">
        <f t="shared" ref="I8" si="4">SUM(I6:I7)</f>
        <v>6837.1272000000008</v>
      </c>
      <c r="J8" s="8">
        <f t="shared" ref="J8" si="5">SUM(J6:J7)</f>
        <v>7076.4266520000001</v>
      </c>
      <c r="K8" s="8">
        <f t="shared" ref="K8" si="6">SUM(K6:K7)</f>
        <v>7359.4837180800005</v>
      </c>
      <c r="L8" s="8">
        <f t="shared" ref="L8:M8" si="7">SUM(L6:L7)</f>
        <v>7653.8630668032001</v>
      </c>
      <c r="M8" s="8">
        <f t="shared" si="7"/>
        <v>7883.4789588072963</v>
      </c>
    </row>
    <row r="9" spans="1:1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7.25">
      <c r="A10" s="1" t="s">
        <v>127</v>
      </c>
      <c r="B10" s="8">
        <f>Financials!B10+Supplemental!K7</f>
        <v>-3156</v>
      </c>
      <c r="C10" s="8">
        <f>Financials!C10+Supplemental!L7</f>
        <v>-3409</v>
      </c>
      <c r="D10" s="8">
        <f>Financials!D10+Supplemental!M7</f>
        <v>-3650</v>
      </c>
      <c r="E10" s="8">
        <f>Financials!E10+Supplemental!N7</f>
        <v>-3748</v>
      </c>
      <c r="F10" s="8">
        <f>Financials!F10+Supplemental!O7</f>
        <v>-3882</v>
      </c>
      <c r="G10" s="8">
        <f>Financials!G10+Supplemental!P7</f>
        <v>-3874</v>
      </c>
      <c r="H10" s="8">
        <f>-H$6*Forecasts!I10</f>
        <v>-4106.4400000000005</v>
      </c>
      <c r="I10" s="8">
        <f>-I$6*Forecasts!J10</f>
        <v>-4250.1653999999999</v>
      </c>
      <c r="J10" s="8">
        <f>-J$6*Forecasts!K10</f>
        <v>-4398.9211889999997</v>
      </c>
      <c r="K10" s="8">
        <f>-K$6*Forecasts!L10</f>
        <v>-4574.8780365599996</v>
      </c>
      <c r="L10" s="8">
        <f>-L$6*Forecasts!M10</f>
        <v>-4757.8731580223994</v>
      </c>
      <c r="M10" s="8">
        <f>-M$6*Forecasts!N10</f>
        <v>-4900.6093527630719</v>
      </c>
    </row>
    <row r="11" spans="1:13" ht="17.25">
      <c r="A11" s="1" t="s">
        <v>128</v>
      </c>
      <c r="B11" s="8">
        <f>Financials!B11+Supplemental!K8</f>
        <v>-272</v>
      </c>
      <c r="C11" s="8">
        <f>Financials!C11+Supplemental!L8</f>
        <v>-324</v>
      </c>
      <c r="D11" s="8">
        <f>Financials!D11+Supplemental!M8</f>
        <v>-340</v>
      </c>
      <c r="E11" s="8">
        <f>Financials!E11+Supplemental!N8</f>
        <v>-350</v>
      </c>
      <c r="F11" s="8">
        <f>Financials!F11+Supplemental!O8</f>
        <v>-377</v>
      </c>
      <c r="G11" s="8">
        <f>Financials!G11+Supplemental!P8</f>
        <v>-383</v>
      </c>
      <c r="H11" s="8">
        <f>-H$6*Forecasts!I11</f>
        <v>-405.98</v>
      </c>
      <c r="I11" s="8">
        <f>-I$6*Forecasts!J11</f>
        <v>-420.1893</v>
      </c>
      <c r="J11" s="8">
        <f>-J$6*Forecasts!K11</f>
        <v>-434.89592549999998</v>
      </c>
      <c r="K11" s="8">
        <f>-K$6*Forecasts!L11</f>
        <v>-452.29176252000002</v>
      </c>
      <c r="L11" s="8">
        <f>-L$6*Forecasts!M11</f>
        <v>-470.3834330208</v>
      </c>
      <c r="M11" s="8">
        <f>-M$6*Forecasts!N11</f>
        <v>-484.49493601142404</v>
      </c>
    </row>
    <row r="12" spans="1:13" ht="17.25">
      <c r="A12" s="10" t="s">
        <v>130</v>
      </c>
      <c r="B12" s="8">
        <f>Financials!B12+Supplemental!K9</f>
        <v>-570</v>
      </c>
      <c r="C12" s="8">
        <f>Financials!C12+Supplemental!L9</f>
        <v>-627</v>
      </c>
      <c r="D12" s="8">
        <f>Financials!D12+Supplemental!M9</f>
        <v>-697</v>
      </c>
      <c r="E12" s="8">
        <f>Financials!E12+Supplemental!N9</f>
        <v>-664</v>
      </c>
      <c r="F12" s="8">
        <f>Financials!F12+Supplemental!O9</f>
        <v>-698</v>
      </c>
      <c r="G12" s="8">
        <f>Financials!G12+Supplemental!P9</f>
        <v>-711</v>
      </c>
      <c r="H12" s="8">
        <f>-H$6*Forecasts!I12</f>
        <v>-753.66000000000008</v>
      </c>
      <c r="I12" s="8">
        <f>-I$6*Forecasts!J12</f>
        <v>-780.03809999999999</v>
      </c>
      <c r="J12" s="8">
        <f>-J$6*Forecasts!K12</f>
        <v>-807.33943350000004</v>
      </c>
      <c r="K12" s="8">
        <f>-K$6*Forecasts!L12</f>
        <v>-839.63301084</v>
      </c>
      <c r="L12" s="8">
        <f>-L$6*Forecasts!M12</f>
        <v>-873.21833127360003</v>
      </c>
      <c r="M12" s="8">
        <f>-M$6*Forecasts!N12</f>
        <v>-899.41488121180805</v>
      </c>
    </row>
    <row r="13" spans="1:13">
      <c r="A13" s="37" t="s">
        <v>99</v>
      </c>
      <c r="B13" s="50">
        <f>Supplemental!B37</f>
        <v>19</v>
      </c>
      <c r="C13" s="50">
        <f>Supplemental!C37</f>
        <v>92</v>
      </c>
      <c r="D13" s="50">
        <f>Supplemental!D37</f>
        <v>118</v>
      </c>
      <c r="E13" s="50">
        <f>Supplemental!E37</f>
        <v>48</v>
      </c>
      <c r="F13" s="50">
        <f>Supplemental!F37</f>
        <v>84</v>
      </c>
      <c r="G13" s="50">
        <f>Supplemental!G37</f>
        <v>30</v>
      </c>
      <c r="H13" s="50">
        <f>H$6*Forecasts!I13</f>
        <v>31.800000000000004</v>
      </c>
      <c r="I13" s="50">
        <f>I$6*Forecasts!J13</f>
        <v>32.913000000000004</v>
      </c>
      <c r="J13" s="50">
        <f>J$6*Forecasts!K13</f>
        <v>34.064955000000005</v>
      </c>
      <c r="K13" s="50">
        <f>K$6*Forecasts!L13</f>
        <v>35.427553199999998</v>
      </c>
      <c r="L13" s="50">
        <f>L$6*Forecasts!M13</f>
        <v>36.844655328000002</v>
      </c>
      <c r="M13" s="50">
        <f>M$6*Forecasts!N13</f>
        <v>37.949994987840007</v>
      </c>
    </row>
    <row r="14" spans="1:13">
      <c r="A14" s="14" t="s">
        <v>126</v>
      </c>
      <c r="B14" s="22">
        <f>Supplemental!K20</f>
        <v>268</v>
      </c>
      <c r="C14" s="22">
        <f>Supplemental!L20</f>
        <v>49</v>
      </c>
      <c r="D14" s="22">
        <f>Supplemental!M20</f>
        <v>53</v>
      </c>
      <c r="E14" s="22">
        <f>Supplemental!N20</f>
        <v>56</v>
      </c>
      <c r="F14" s="22">
        <f>Supplemental!O20</f>
        <v>95</v>
      </c>
      <c r="G14" s="22">
        <f>Supplemental!P20</f>
        <v>108</v>
      </c>
      <c r="H14" s="22">
        <f>H$6*Forecasts!I14</f>
        <v>114.48</v>
      </c>
      <c r="I14" s="22">
        <f>I$6*Forecasts!J14</f>
        <v>118.4868</v>
      </c>
      <c r="J14" s="22">
        <f>J$6*Forecasts!K14</f>
        <v>122.633838</v>
      </c>
      <c r="K14" s="22">
        <f>K$6*Forecasts!L14</f>
        <v>127.53919151999999</v>
      </c>
      <c r="L14" s="22">
        <f>L$6*Forecasts!M14</f>
        <v>132.64075918079999</v>
      </c>
      <c r="M14" s="22">
        <f>M$6*Forecasts!N14</f>
        <v>136.619981956224</v>
      </c>
    </row>
    <row r="15" spans="1:13">
      <c r="A15" s="37" t="s">
        <v>11</v>
      </c>
      <c r="B15" s="8">
        <f t="shared" ref="B15:F15" si="8">SUM(B8:B14)</f>
        <v>1266</v>
      </c>
      <c r="C15" s="8">
        <f t="shared" si="8"/>
        <v>1222</v>
      </c>
      <c r="D15" s="8">
        <f t="shared" si="8"/>
        <v>1261</v>
      </c>
      <c r="E15" s="8">
        <f t="shared" si="8"/>
        <v>1403</v>
      </c>
      <c r="F15" s="8">
        <f t="shared" si="8"/>
        <v>1536</v>
      </c>
      <c r="G15" s="8">
        <f>SUM(G8:G14)</f>
        <v>1402</v>
      </c>
      <c r="H15" s="8">
        <f t="shared" ref="H15" si="9">SUM(H8:H14)</f>
        <v>1486.1200000000003</v>
      </c>
      <c r="I15" s="8">
        <f t="shared" ref="I15" si="10">SUM(I8:I14)</f>
        <v>1538.1342000000009</v>
      </c>
      <c r="J15" s="8">
        <f t="shared" ref="J15" si="11">SUM(J8:J14)</f>
        <v>1591.9688970000004</v>
      </c>
      <c r="K15" s="8">
        <f t="shared" ref="K15" si="12">SUM(K8:K14)</f>
        <v>1655.647652880001</v>
      </c>
      <c r="L15" s="8">
        <f t="shared" ref="L15:M15" si="13">SUM(L8:L14)</f>
        <v>1721.8735589952005</v>
      </c>
      <c r="M15" s="8">
        <f t="shared" si="13"/>
        <v>1773.529765765056</v>
      </c>
    </row>
    <row r="16" spans="1:1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1" t="s">
        <v>52</v>
      </c>
      <c r="B17" s="8">
        <f t="shared" ref="B17:F17" si="14">-B26</f>
        <v>17.545549193128522</v>
      </c>
      <c r="C17" s="8">
        <f t="shared" si="14"/>
        <v>-360.03454894433781</v>
      </c>
      <c r="D17" s="8">
        <f t="shared" si="14"/>
        <v>-376.97108843537416</v>
      </c>
      <c r="E17" s="8">
        <f t="shared" si="14"/>
        <v>-431.20000000000005</v>
      </c>
      <c r="F17" s="8">
        <f t="shared" si="14"/>
        <v>-479.81069452980944</v>
      </c>
      <c r="G17" s="8">
        <f t="shared" ref="G17:H17" si="15">-G26</f>
        <v>-402.06553672316386</v>
      </c>
      <c r="H17" s="8">
        <f t="shared" si="15"/>
        <v>-426.18946892655379</v>
      </c>
      <c r="I17" s="8">
        <f t="shared" ref="I17:L17" si="16">-I26</f>
        <v>-441.10610033898331</v>
      </c>
      <c r="J17" s="8">
        <f t="shared" si="16"/>
        <v>-456.54481385084762</v>
      </c>
      <c r="K17" s="8">
        <f t="shared" si="16"/>
        <v>-474.80660640488173</v>
      </c>
      <c r="L17" s="8">
        <f t="shared" si="16"/>
        <v>-493.79887066107676</v>
      </c>
      <c r="M17" s="8">
        <f t="shared" ref="M17" si="17">-M26</f>
        <v>-508.61283678090888</v>
      </c>
    </row>
    <row r="18" spans="1:13" ht="15.75" thickBot="1">
      <c r="A18" s="15" t="s">
        <v>53</v>
      </c>
      <c r="B18" s="16">
        <f t="shared" ref="B18:F18" si="18">B15+B17</f>
        <v>1283.5455491931284</v>
      </c>
      <c r="C18" s="16">
        <f t="shared" si="18"/>
        <v>861.96545105566224</v>
      </c>
      <c r="D18" s="16">
        <f t="shared" si="18"/>
        <v>884.02891156462579</v>
      </c>
      <c r="E18" s="16">
        <f t="shared" si="18"/>
        <v>971.8</v>
      </c>
      <c r="F18" s="16">
        <f t="shared" si="18"/>
        <v>1056.1893054701904</v>
      </c>
      <c r="G18" s="16">
        <f t="shared" ref="G18" si="19">G15+G17</f>
        <v>999.93446327683614</v>
      </c>
      <c r="H18" s="16">
        <f t="shared" ref="H18" si="20">H15+H17</f>
        <v>1059.9305310734467</v>
      </c>
      <c r="I18" s="16">
        <f t="shared" ref="I18" si="21">I15+I17</f>
        <v>1097.0280996610177</v>
      </c>
      <c r="J18" s="16">
        <f t="shared" ref="J18" si="22">J15+J17</f>
        <v>1135.4240831491529</v>
      </c>
      <c r="K18" s="16">
        <f t="shared" ref="K18" si="23">K15+K17</f>
        <v>1180.8410464751194</v>
      </c>
      <c r="L18" s="16">
        <f t="shared" ref="L18:M18" si="24">L15+L17</f>
        <v>1228.0746883341237</v>
      </c>
      <c r="M18" s="16">
        <f t="shared" si="24"/>
        <v>1264.916928984147</v>
      </c>
    </row>
    <row r="19" spans="1:13" ht="15.75" thickTop="1">
      <c r="H19" s="1"/>
      <c r="I19" s="1"/>
      <c r="J19" s="1"/>
      <c r="K19" s="1"/>
      <c r="L19" s="1"/>
      <c r="M19" s="1"/>
    </row>
    <row r="20" spans="1:13">
      <c r="H20" s="1"/>
      <c r="I20" s="1"/>
      <c r="J20" s="1"/>
      <c r="K20" s="1"/>
      <c r="L20" s="1"/>
      <c r="M20" s="1"/>
    </row>
    <row r="21" spans="1:13">
      <c r="A21" s="2" t="s">
        <v>101</v>
      </c>
      <c r="H21" s="1"/>
      <c r="I21" s="1"/>
      <c r="J21" s="1"/>
      <c r="K21" s="1"/>
      <c r="L21" s="1"/>
      <c r="M21" s="1"/>
    </row>
    <row r="22" spans="1:13">
      <c r="H22" s="1"/>
      <c r="I22" s="1"/>
      <c r="J22" s="1"/>
      <c r="K22" s="1"/>
      <c r="L22" s="1"/>
      <c r="M22" s="1"/>
    </row>
    <row r="23" spans="1:13">
      <c r="A23" s="21" t="str">
        <f t="shared" ref="A23:G23" si="25">A5</f>
        <v>EUR millions</v>
      </c>
      <c r="B23" s="21">
        <f t="shared" ref="B23:F23" si="26">B5</f>
        <v>2004</v>
      </c>
      <c r="C23" s="21">
        <f t="shared" si="26"/>
        <v>2005</v>
      </c>
      <c r="D23" s="21">
        <f t="shared" si="26"/>
        <v>2006</v>
      </c>
      <c r="E23" s="21">
        <f t="shared" si="26"/>
        <v>2007</v>
      </c>
      <c r="F23" s="21">
        <f t="shared" si="26"/>
        <v>2008</v>
      </c>
      <c r="G23" s="21">
        <f t="shared" si="25"/>
        <v>2009</v>
      </c>
      <c r="H23" s="21">
        <f t="shared" ref="H23:L23" si="27">H5</f>
        <v>2010</v>
      </c>
      <c r="I23" s="21">
        <f t="shared" si="27"/>
        <v>2011</v>
      </c>
      <c r="J23" s="21">
        <f t="shared" si="27"/>
        <v>2012</v>
      </c>
      <c r="K23" s="21">
        <f t="shared" si="27"/>
        <v>2013</v>
      </c>
      <c r="L23" s="21">
        <f t="shared" si="27"/>
        <v>2014</v>
      </c>
      <c r="M23" s="21">
        <f t="shared" ref="M23" si="28">M5</f>
        <v>2015</v>
      </c>
    </row>
    <row r="24" spans="1:13">
      <c r="A24" s="1" t="s">
        <v>47</v>
      </c>
      <c r="B24" s="8">
        <f>Taxes!K27*B15</f>
        <v>507.45445080687148</v>
      </c>
      <c r="C24" s="8">
        <f>Taxes!L27*C15</f>
        <v>489.03454894433781</v>
      </c>
      <c r="D24" s="8">
        <f>Taxes!M27*D15</f>
        <v>503.97108843537416</v>
      </c>
      <c r="E24" s="8">
        <f>Taxes!N27*E15</f>
        <v>561.20000000000005</v>
      </c>
      <c r="F24" s="8">
        <f>Taxes!O27*F15</f>
        <v>475.81069452980944</v>
      </c>
      <c r="G24" s="8">
        <f>Taxes!P27*G15</f>
        <v>434.06553672316386</v>
      </c>
      <c r="H24" s="8">
        <f>H$15*Forecasts!I24</f>
        <v>460.1094689265538</v>
      </c>
      <c r="I24" s="8">
        <f>I$15*Forecasts!J24</f>
        <v>476.21330033898334</v>
      </c>
      <c r="J24" s="8">
        <f>J$15*Forecasts!K24</f>
        <v>492.88076585084764</v>
      </c>
      <c r="K24" s="8">
        <f>K$15*Forecasts!L24</f>
        <v>512.59599648488177</v>
      </c>
      <c r="L24" s="8">
        <f>L$15*Forecasts!M24</f>
        <v>533.09983634427681</v>
      </c>
      <c r="M24" s="8">
        <f>M$15*Forecasts!N24</f>
        <v>549.09283143460493</v>
      </c>
    </row>
    <row r="25" spans="1:13">
      <c r="A25" s="1" t="s">
        <v>96</v>
      </c>
      <c r="B25" s="8">
        <f>Taxes!B28</f>
        <v>-525</v>
      </c>
      <c r="C25" s="8">
        <f>Taxes!C28</f>
        <v>-129</v>
      </c>
      <c r="D25" s="8">
        <f>Taxes!D28</f>
        <v>-127</v>
      </c>
      <c r="E25" s="8">
        <f>Taxes!E28</f>
        <v>-130</v>
      </c>
      <c r="F25" s="8">
        <f>Taxes!F28</f>
        <v>4</v>
      </c>
      <c r="G25" s="8">
        <f>Taxes!G28</f>
        <v>-32</v>
      </c>
      <c r="H25" s="8">
        <f>H$15*Forecasts!I25</f>
        <v>-33.92000000000003</v>
      </c>
      <c r="I25" s="8">
        <f>I$15*Forecasts!J25</f>
        <v>-35.107200000000041</v>
      </c>
      <c r="J25" s="8">
        <f>J$15*Forecasts!K25</f>
        <v>-36.335952000000034</v>
      </c>
      <c r="K25" s="8">
        <f>K$15*Forecasts!L25</f>
        <v>-37.789390080000047</v>
      </c>
      <c r="L25" s="8">
        <f>L$15*Forecasts!M25</f>
        <v>-39.300965683200033</v>
      </c>
      <c r="M25" s="8">
        <f>M$15*Forecasts!N25</f>
        <v>-40.479994653696025</v>
      </c>
    </row>
    <row r="26" spans="1:13" ht="15.75" thickBot="1">
      <c r="A26" s="15" t="s">
        <v>52</v>
      </c>
      <c r="B26" s="16">
        <f t="shared" ref="B26:F26" si="29">SUM(B24:B25)</f>
        <v>-17.545549193128522</v>
      </c>
      <c r="C26" s="16">
        <f t="shared" si="29"/>
        <v>360.03454894433781</v>
      </c>
      <c r="D26" s="16">
        <f t="shared" si="29"/>
        <v>376.97108843537416</v>
      </c>
      <c r="E26" s="16">
        <f t="shared" si="29"/>
        <v>431.20000000000005</v>
      </c>
      <c r="F26" s="16">
        <f t="shared" si="29"/>
        <v>479.81069452980944</v>
      </c>
      <c r="G26" s="16">
        <f t="shared" ref="G26" si="30">SUM(G24:G25)</f>
        <v>402.06553672316386</v>
      </c>
      <c r="H26" s="16">
        <f t="shared" ref="H26" si="31">SUM(H24:H25)</f>
        <v>426.18946892655379</v>
      </c>
      <c r="I26" s="16">
        <f t="shared" ref="I26" si="32">SUM(I24:I25)</f>
        <v>441.10610033898331</v>
      </c>
      <c r="J26" s="16">
        <f t="shared" ref="J26" si="33">SUM(J24:J25)</f>
        <v>456.54481385084762</v>
      </c>
      <c r="K26" s="16">
        <f t="shared" ref="K26" si="34">SUM(K24:K25)</f>
        <v>474.80660640488173</v>
      </c>
      <c r="L26" s="16">
        <f t="shared" ref="L26:M26" si="35">SUM(L24:L25)</f>
        <v>493.79887066107676</v>
      </c>
      <c r="M26" s="16">
        <f t="shared" si="35"/>
        <v>508.61283678090888</v>
      </c>
    </row>
    <row r="27" spans="1:13" ht="15.75" thickTop="1">
      <c r="A27" s="2"/>
    </row>
    <row r="28" spans="1:13">
      <c r="A28" s="2"/>
    </row>
    <row r="29" spans="1:13">
      <c r="A29" s="2" t="s">
        <v>136</v>
      </c>
    </row>
    <row r="31" spans="1:13">
      <c r="A31" s="3" t="str">
        <f>A5</f>
        <v>EUR millions</v>
      </c>
      <c r="B31" s="3">
        <f t="shared" ref="B31" si="36">B5</f>
        <v>2004</v>
      </c>
      <c r="C31" s="3">
        <f t="shared" ref="C31:G31" si="37">C5</f>
        <v>2005</v>
      </c>
      <c r="D31" s="3">
        <f t="shared" si="37"/>
        <v>2006</v>
      </c>
      <c r="E31" s="3">
        <f t="shared" si="37"/>
        <v>2007</v>
      </c>
      <c r="F31" s="3">
        <f t="shared" si="37"/>
        <v>2008</v>
      </c>
      <c r="G31" s="3">
        <f t="shared" si="37"/>
        <v>2009</v>
      </c>
    </row>
    <row r="32" spans="1:13">
      <c r="A32" s="59" t="s">
        <v>18</v>
      </c>
      <c r="B32" s="60">
        <f>Financials!B22</f>
        <v>1736</v>
      </c>
      <c r="C32" s="60">
        <f>Financials!C22</f>
        <v>770</v>
      </c>
      <c r="D32" s="60">
        <f>Financials!D22</f>
        <v>871</v>
      </c>
      <c r="E32" s="60">
        <f>Financials!E22</f>
        <v>941</v>
      </c>
      <c r="F32" s="60">
        <f>Financials!F22</f>
        <v>1233</v>
      </c>
      <c r="G32" s="60">
        <f>Financials!G22</f>
        <v>628</v>
      </c>
    </row>
    <row r="33" spans="1:13">
      <c r="A33" s="10" t="s">
        <v>138</v>
      </c>
      <c r="B33" s="60">
        <f>Taxes!B29</f>
        <v>-59</v>
      </c>
      <c r="C33" s="60">
        <f>Taxes!C29</f>
        <v>-16</v>
      </c>
      <c r="D33" s="60">
        <f>Taxes!D29</f>
        <v>-38</v>
      </c>
      <c r="E33" s="60">
        <f>Taxes!E29</f>
        <v>-61</v>
      </c>
      <c r="F33" s="60">
        <f>Taxes!F29</f>
        <v>-114</v>
      </c>
      <c r="G33" s="60">
        <f>Taxes!G29</f>
        <v>15</v>
      </c>
    </row>
    <row r="34" spans="1:13">
      <c r="A34" s="1" t="s">
        <v>100</v>
      </c>
      <c r="B34" s="8">
        <f>(1-Taxes!K$27)*Supplemental!K10</f>
        <v>0</v>
      </c>
      <c r="C34" s="8">
        <f>(1-Taxes!L$27)*Supplemental!L10</f>
        <v>0</v>
      </c>
      <c r="D34" s="8">
        <f>(1-Taxes!M$27)*Supplemental!M10</f>
        <v>0</v>
      </c>
      <c r="E34" s="8">
        <f>(1-Taxes!N$27)*Supplemental!N10</f>
        <v>0</v>
      </c>
      <c r="F34" s="8">
        <f>(1-Taxes!O$27)*Supplemental!O10</f>
        <v>457.62077443146893</v>
      </c>
      <c r="G34" s="8">
        <f>(1-Taxes!P$27)*Supplemental!P10</f>
        <v>109.77288135593218</v>
      </c>
    </row>
    <row r="35" spans="1:13">
      <c r="A35" s="10" t="s">
        <v>143</v>
      </c>
      <c r="B35" s="60">
        <f>-(1-Taxes!K$27)*Supplemental!B38</f>
        <v>118.63508589276418</v>
      </c>
      <c r="C35" s="60">
        <f>-(1-Taxes!L$27)*Supplemental!C38</f>
        <v>6.5978886756238007</v>
      </c>
      <c r="D35" s="60">
        <f>-(1-Taxes!M$27)*Supplemental!D38</f>
        <v>-54.030612244897966</v>
      </c>
      <c r="E35" s="60">
        <f>-(1-Taxes!N$27)*Supplemental!E38</f>
        <v>1.7999999999999998</v>
      </c>
      <c r="F35" s="60">
        <f>-(1-Taxes!O$27)*Supplemental!F38</f>
        <v>-0.69022741241548857</v>
      </c>
      <c r="G35" s="60">
        <f>-(1-Taxes!P$27)*Supplemental!G38</f>
        <v>37.971751412429377</v>
      </c>
    </row>
    <row r="36" spans="1:13">
      <c r="A36" s="10" t="s">
        <v>69</v>
      </c>
      <c r="B36" s="60">
        <f>-(1-Taxes!K$27)*Financials!B17</f>
        <v>-769.3305570015616</v>
      </c>
      <c r="C36" s="60">
        <f>-(1-Taxes!L$27)*Financials!C17</f>
        <v>-53.982725527831093</v>
      </c>
      <c r="D36" s="60">
        <f>-(1-Taxes!M$27)*Financials!D17</f>
        <v>-32.41836734693878</v>
      </c>
      <c r="E36" s="60">
        <f>-(1-Taxes!N$27)*Financials!E17</f>
        <v>-50.4</v>
      </c>
      <c r="F36" s="60">
        <f>-(1-Taxes!O$27)*Financials!F17</f>
        <v>-775.1253841425937</v>
      </c>
      <c r="G36" s="60">
        <f>-(1-Taxes!P$27)*Financials!G17</f>
        <v>2.7615819209039545</v>
      </c>
    </row>
    <row r="37" spans="1:13">
      <c r="A37" s="10" t="s">
        <v>34</v>
      </c>
      <c r="B37" s="60">
        <f>-(1-Taxes!K$27)*Financials!B18</f>
        <v>97.664237376366472</v>
      </c>
      <c r="C37" s="60">
        <f>-(1-Taxes!L$27)*Financials!C18</f>
        <v>125.95969289827255</v>
      </c>
      <c r="D37" s="60">
        <f>-(1-Taxes!M$27)*Financials!D18</f>
        <v>105.65986394557824</v>
      </c>
      <c r="E37" s="60">
        <f>-(1-Taxes!N$27)*Financials!E18</f>
        <v>106.8</v>
      </c>
      <c r="F37" s="60">
        <f>-(1-Taxes!O$27)*Financials!F18</f>
        <v>189.81253841425936</v>
      </c>
      <c r="G37" s="60">
        <f>-(1-Taxes!P$27)*Financials!G18</f>
        <v>131.86553672316381</v>
      </c>
    </row>
    <row r="38" spans="1:13">
      <c r="A38" s="1" t="s">
        <v>156</v>
      </c>
      <c r="B38" s="8">
        <f>(1-Taxes!K$27)*B14</f>
        <v>160.5767829255596</v>
      </c>
      <c r="C38" s="8">
        <f>(1-Taxes!L$27)*C14</f>
        <v>29.390595009596929</v>
      </c>
      <c r="D38" s="8">
        <f>(1-Taxes!M$27)*D14</f>
        <v>31.818027210884356</v>
      </c>
      <c r="E38" s="8">
        <f>(1-Taxes!N$27)*E14</f>
        <v>33.6</v>
      </c>
      <c r="F38" s="8">
        <f>(1-Taxes!O$27)*F14</f>
        <v>65.571604179471422</v>
      </c>
      <c r="G38" s="8">
        <f>(1-Taxes!P$27)*G14</f>
        <v>74.562711864406765</v>
      </c>
    </row>
    <row r="39" spans="1:13" ht="15.75" thickBot="1">
      <c r="A39" s="15" t="s">
        <v>53</v>
      </c>
      <c r="B39" s="65">
        <f t="shared" ref="B39" si="38">SUM(B32:B38)</f>
        <v>1284.5455491931286</v>
      </c>
      <c r="C39" s="65">
        <f t="shared" ref="C39" si="39">SUM(C32:C38)</f>
        <v>861.96545105566224</v>
      </c>
      <c r="D39" s="65">
        <f t="shared" ref="D39" si="40">SUM(D32:D38)</f>
        <v>884.02891156462579</v>
      </c>
      <c r="E39" s="65">
        <f t="shared" ref="E39" si="41">SUM(E32:E38)</f>
        <v>971.8</v>
      </c>
      <c r="F39" s="65">
        <f t="shared" ref="F39" si="42">SUM(F32:F38)</f>
        <v>1056.1893054701904</v>
      </c>
      <c r="G39" s="65">
        <f t="shared" ref="G39" si="43">SUM(G32:G38)</f>
        <v>999.93446327683614</v>
      </c>
    </row>
    <row r="40" spans="1:13" ht="15.75" thickTop="1">
      <c r="A40" s="2"/>
    </row>
    <row r="41" spans="1:13">
      <c r="A41" s="2"/>
    </row>
    <row r="42" spans="1:13">
      <c r="A42" s="2"/>
    </row>
    <row r="43" spans="1:13">
      <c r="A43" s="2" t="str">
        <f>company_name</f>
        <v>Henkel AG</v>
      </c>
      <c r="H43" s="1"/>
      <c r="I43" s="1"/>
      <c r="J43" s="1"/>
      <c r="K43" s="1"/>
      <c r="L43" s="1"/>
      <c r="M43" s="1"/>
    </row>
    <row r="44" spans="1:13">
      <c r="A44" s="1" t="s">
        <v>17</v>
      </c>
      <c r="H44" s="73" t="s">
        <v>186</v>
      </c>
      <c r="I44" s="73"/>
      <c r="J44" s="73"/>
      <c r="K44" s="73"/>
      <c r="L44" s="73"/>
      <c r="M44" s="73"/>
    </row>
    <row r="45" spans="1:13">
      <c r="A45" s="10"/>
      <c r="B45" s="10"/>
      <c r="C45" s="10"/>
      <c r="D45" s="10"/>
      <c r="E45" s="10"/>
      <c r="F45" s="10"/>
      <c r="H45" s="1"/>
      <c r="I45" s="1"/>
      <c r="J45" s="1"/>
      <c r="K45" s="1"/>
      <c r="L45" s="1"/>
      <c r="M45" s="1"/>
    </row>
    <row r="46" spans="1:13">
      <c r="A46" s="3" t="str">
        <f>Financials!A5</f>
        <v>EUR millions</v>
      </c>
      <c r="B46" s="3">
        <v>2004</v>
      </c>
      <c r="C46" s="3">
        <f>B46+1</f>
        <v>2005</v>
      </c>
      <c r="D46" s="3">
        <f>C46+1</f>
        <v>2006</v>
      </c>
      <c r="E46" s="3">
        <f>D46+1</f>
        <v>2007</v>
      </c>
      <c r="F46" s="3">
        <f>E46+1</f>
        <v>2008</v>
      </c>
      <c r="G46" s="3">
        <f>F46+1</f>
        <v>2009</v>
      </c>
      <c r="H46" s="3">
        <f t="shared" ref="H46:M46" si="44">G46+1</f>
        <v>2010</v>
      </c>
      <c r="I46" s="3">
        <f t="shared" si="44"/>
        <v>2011</v>
      </c>
      <c r="J46" s="3">
        <f t="shared" si="44"/>
        <v>2012</v>
      </c>
      <c r="K46" s="3">
        <f t="shared" si="44"/>
        <v>2013</v>
      </c>
      <c r="L46" s="3">
        <f t="shared" si="44"/>
        <v>2014</v>
      </c>
      <c r="M46" s="3">
        <f t="shared" si="44"/>
        <v>2015</v>
      </c>
    </row>
    <row r="47" spans="1:13" ht="15" customHeight="1">
      <c r="A47" s="13" t="s">
        <v>42</v>
      </c>
      <c r="B47" s="23">
        <f>MIN(0.02*Financials!B6, Financials!B6)</f>
        <v>211.84</v>
      </c>
      <c r="C47" s="9">
        <f>MIN(0.02*Financials!C6, Financials!C6)</f>
        <v>239.48000000000002</v>
      </c>
      <c r="D47" s="9">
        <f>MIN(0.02*Financials!D6, Financials!D6)</f>
        <v>254.8</v>
      </c>
      <c r="E47" s="9">
        <f>MIN(0.02*Financials!E6, Financials!E6)</f>
        <v>261.48</v>
      </c>
      <c r="F47" s="9">
        <f>MIN(0.02*Financials!F6, Financials!F6)</f>
        <v>282.62</v>
      </c>
      <c r="G47" s="9">
        <f>MIN(0.02*Financials!G6, Financials!G6)</f>
        <v>271.45999999999998</v>
      </c>
      <c r="H47" s="4">
        <f>H$6*Forecasts!I33/365</f>
        <v>287.74760000000003</v>
      </c>
      <c r="I47" s="4">
        <f>I$6*Forecasts!J33/365</f>
        <v>297.81876599999998</v>
      </c>
      <c r="J47" s="4">
        <f>J$6*Forecasts!K33/365</f>
        <v>308.24242280999999</v>
      </c>
      <c r="K47" s="4">
        <f>K$6*Forecasts!L33/365</f>
        <v>320.57211972239998</v>
      </c>
      <c r="L47" s="4">
        <f>L$6*Forecasts!M33/365</f>
        <v>333.39500451129601</v>
      </c>
      <c r="M47" s="4">
        <f>M$6*Forecasts!N33/365</f>
        <v>343.39685464663489</v>
      </c>
    </row>
    <row r="48" spans="1:13">
      <c r="A48" s="13" t="str">
        <f>Financials!I7</f>
        <v>Inventories</v>
      </c>
      <c r="B48" s="23">
        <f>Financials!J7</f>
        <v>1196</v>
      </c>
      <c r="C48" s="9">
        <f>Financials!K7</f>
        <v>1232</v>
      </c>
      <c r="D48" s="9">
        <f>Financials!L7</f>
        <v>1325</v>
      </c>
      <c r="E48" s="9">
        <f>Financials!M7</f>
        <v>1283</v>
      </c>
      <c r="F48" s="9">
        <f>Financials!N7</f>
        <v>1482</v>
      </c>
      <c r="G48" s="9">
        <f>Financials!O7</f>
        <v>1218</v>
      </c>
      <c r="H48" s="4">
        <f>H$6*Forecasts!I34/365</f>
        <v>1291.0800000000002</v>
      </c>
      <c r="I48" s="4">
        <f>I$6*Forecasts!J34/365</f>
        <v>1336.2678000000001</v>
      </c>
      <c r="J48" s="4">
        <f>J$6*Forecasts!K34/365</f>
        <v>1383.0371730000002</v>
      </c>
      <c r="K48" s="4">
        <f>K$6*Forecasts!L34/365</f>
        <v>1438.35865992</v>
      </c>
      <c r="L48" s="4">
        <f>L$6*Forecasts!M34/365</f>
        <v>1495.8930063168002</v>
      </c>
      <c r="M48" s="4">
        <f>M$6*Forecasts!N34/365</f>
        <v>1540.7697965063039</v>
      </c>
    </row>
    <row r="49" spans="1:13">
      <c r="A49" s="13" t="str">
        <f>Financials!I8</f>
        <v>Trade accounts receivable</v>
      </c>
      <c r="B49" s="23">
        <f>Financials!J8</f>
        <v>1743</v>
      </c>
      <c r="C49" s="9">
        <f>Financials!K8</f>
        <v>1794</v>
      </c>
      <c r="D49" s="9">
        <f>Financials!L8</f>
        <v>1868</v>
      </c>
      <c r="E49" s="9">
        <f>Financials!M8</f>
        <v>1694</v>
      </c>
      <c r="F49" s="9">
        <f>Financials!N8</f>
        <v>1847</v>
      </c>
      <c r="G49" s="9">
        <f>Financials!O8</f>
        <v>1721</v>
      </c>
      <c r="H49" s="4">
        <f>H$6*Forecasts!I35/365</f>
        <v>1824.26</v>
      </c>
      <c r="I49" s="4">
        <f>I$6*Forecasts!J35/365</f>
        <v>1888.1090999999999</v>
      </c>
      <c r="J49" s="4">
        <f>J$6*Forecasts!K35/365</f>
        <v>1954.1929184999999</v>
      </c>
      <c r="K49" s="4">
        <f>K$6*Forecasts!L35/365</f>
        <v>2032.36063524</v>
      </c>
      <c r="L49" s="4">
        <f>L$6*Forecasts!M35/365</f>
        <v>2113.6550606496003</v>
      </c>
      <c r="M49" s="4">
        <f>M$6*Forecasts!N35/365</f>
        <v>2177.0647124690881</v>
      </c>
    </row>
    <row r="50" spans="1:13">
      <c r="A50" s="13" t="str">
        <f>Financials!I9</f>
        <v>Income tax refund claims</v>
      </c>
      <c r="B50" s="23">
        <f>Financials!J9</f>
        <v>0</v>
      </c>
      <c r="C50" s="9">
        <f>Financials!K9</f>
        <v>121</v>
      </c>
      <c r="D50" s="9">
        <f>Financials!L9</f>
        <v>110</v>
      </c>
      <c r="E50" s="9">
        <f>Financials!M9</f>
        <v>90</v>
      </c>
      <c r="F50" s="9">
        <f>Financials!N9</f>
        <v>202</v>
      </c>
      <c r="G50" s="9">
        <f>Financials!O9</f>
        <v>139</v>
      </c>
      <c r="H50" s="4">
        <f>H$6*Forecasts!I36/365</f>
        <v>147.34</v>
      </c>
      <c r="I50" s="4">
        <f>I$6*Forecasts!J36/365</f>
        <v>152.49689999999998</v>
      </c>
      <c r="J50" s="4">
        <f>J$6*Forecasts!K36/365</f>
        <v>157.83429149999998</v>
      </c>
      <c r="K50" s="4">
        <f>K$6*Forecasts!L36/365</f>
        <v>164.14766315999998</v>
      </c>
      <c r="L50" s="4">
        <f>L$6*Forecasts!M36/365</f>
        <v>170.71356968640001</v>
      </c>
      <c r="M50" s="4">
        <f>M$6*Forecasts!N36/365</f>
        <v>175.83497677699199</v>
      </c>
    </row>
    <row r="51" spans="1:13">
      <c r="A51" s="13" t="str">
        <f>Financials!I12</f>
        <v>Other current assets</v>
      </c>
      <c r="B51" s="23">
        <f>Financials!J12</f>
        <v>777</v>
      </c>
      <c r="C51" s="9">
        <f>Financials!K12</f>
        <v>378</v>
      </c>
      <c r="D51" s="9">
        <f>Financials!L12</f>
        <v>312</v>
      </c>
      <c r="E51" s="9">
        <f>Financials!M12</f>
        <v>315</v>
      </c>
      <c r="F51" s="9">
        <f>Financials!N12</f>
        <v>256</v>
      </c>
      <c r="G51" s="9">
        <f>Financials!O12</f>
        <v>224</v>
      </c>
      <c r="H51" s="4">
        <f>H$6*Forecasts!I37/365</f>
        <v>237.44000000000003</v>
      </c>
      <c r="I51" s="4">
        <f>I$6*Forecasts!J37/365</f>
        <v>245.75039999999998</v>
      </c>
      <c r="J51" s="4">
        <f>J$6*Forecasts!K37/365</f>
        <v>254.35166399999997</v>
      </c>
      <c r="K51" s="4">
        <f>K$6*Forecasts!L37/365</f>
        <v>264.52573056</v>
      </c>
      <c r="L51" s="4">
        <f>L$6*Forecasts!M37/365</f>
        <v>275.10675978239999</v>
      </c>
      <c r="M51" s="4">
        <f>M$6*Forecasts!N37/365</f>
        <v>283.35996257587198</v>
      </c>
    </row>
    <row r="52" spans="1:13">
      <c r="A52" s="25" t="s">
        <v>36</v>
      </c>
      <c r="B52" s="26">
        <f t="shared" ref="B52:G52" si="45">SUM(B47:B51)</f>
        <v>3927.84</v>
      </c>
      <c r="C52" s="27">
        <f t="shared" si="45"/>
        <v>3764.48</v>
      </c>
      <c r="D52" s="27">
        <f t="shared" si="45"/>
        <v>3869.8</v>
      </c>
      <c r="E52" s="27">
        <f t="shared" si="45"/>
        <v>3643.48</v>
      </c>
      <c r="F52" s="27">
        <f t="shared" si="45"/>
        <v>4069.62</v>
      </c>
      <c r="G52" s="27">
        <f t="shared" si="45"/>
        <v>3573.46</v>
      </c>
      <c r="H52" s="27">
        <f t="shared" ref="H52:L52" si="46">SUM(H47:H51)</f>
        <v>3787.8676</v>
      </c>
      <c r="I52" s="27">
        <f t="shared" si="46"/>
        <v>3920.4429659999996</v>
      </c>
      <c r="J52" s="27">
        <f t="shared" si="46"/>
        <v>4057.6584698099996</v>
      </c>
      <c r="K52" s="27">
        <f t="shared" si="46"/>
        <v>4219.9648086023999</v>
      </c>
      <c r="L52" s="27">
        <f t="shared" si="46"/>
        <v>4388.7634009464964</v>
      </c>
      <c r="M52" s="27">
        <f t="shared" ref="M52" si="47">SUM(M47:M51)</f>
        <v>4520.4263029748909</v>
      </c>
    </row>
    <row r="53" spans="1:13">
      <c r="A53" s="13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>
      <c r="A54" s="13" t="str">
        <f>Financials!I29</f>
        <v>Income tax provisions and liabilities</v>
      </c>
      <c r="B54" s="23">
        <f>Financials!J29</f>
        <v>0</v>
      </c>
      <c r="C54" s="9">
        <f>Financials!K29</f>
        <v>0</v>
      </c>
      <c r="D54" s="9">
        <f>Financials!L29</f>
        <v>135</v>
      </c>
      <c r="E54" s="9">
        <f>Financials!M29</f>
        <v>167</v>
      </c>
      <c r="F54" s="9">
        <f>Financials!N29</f>
        <v>354</v>
      </c>
      <c r="G54" s="9">
        <f>Financials!O29</f>
        <v>234</v>
      </c>
      <c r="H54" s="4">
        <f>H$6*Forecasts!I40/365</f>
        <v>248.04000000000002</v>
      </c>
      <c r="I54" s="4">
        <f>I$6*Forecasts!J40/365</f>
        <v>256.72140000000002</v>
      </c>
      <c r="J54" s="4">
        <f>J$6*Forecasts!K40/365</f>
        <v>265.70664899999997</v>
      </c>
      <c r="K54" s="4">
        <f>K$6*Forecasts!L40/365</f>
        <v>276.33491495999999</v>
      </c>
      <c r="L54" s="4">
        <f>L$6*Forecasts!M40/365</f>
        <v>287.38831155839995</v>
      </c>
      <c r="M54" s="4">
        <f>M$6*Forecasts!N40/365</f>
        <v>296.00996090515201</v>
      </c>
    </row>
    <row r="55" spans="1:13">
      <c r="A55" s="13" t="str">
        <f>Financials!I31</f>
        <v>Other short-term provisions</v>
      </c>
      <c r="B55" s="23">
        <f>Financials!J31</f>
        <v>0</v>
      </c>
      <c r="C55" s="9">
        <f>Financials!K31</f>
        <v>932</v>
      </c>
      <c r="D55" s="9">
        <f>Financials!L31</f>
        <v>884</v>
      </c>
      <c r="E55" s="9">
        <f>Financials!M31</f>
        <v>763</v>
      </c>
      <c r="F55" s="9">
        <f>Financials!N31</f>
        <v>866</v>
      </c>
      <c r="G55" s="9">
        <f>Financials!O31</f>
        <v>938</v>
      </c>
      <c r="H55" s="4">
        <f>H$6*Forecasts!I41/365</f>
        <v>994.2800000000002</v>
      </c>
      <c r="I55" s="4">
        <f>I$6*Forecasts!J41/365</f>
        <v>1029.0798000000002</v>
      </c>
      <c r="J55" s="4">
        <f>J$6*Forecasts!K41/365</f>
        <v>1065.097593</v>
      </c>
      <c r="K55" s="4">
        <f>K$6*Forecasts!L41/365</f>
        <v>1107.70149672</v>
      </c>
      <c r="L55" s="4">
        <f>L$6*Forecasts!M41/365</f>
        <v>1152.0095565888</v>
      </c>
      <c r="M55" s="4">
        <f>M$6*Forecasts!N41/365</f>
        <v>1186.5698432864642</v>
      </c>
    </row>
    <row r="56" spans="1:13">
      <c r="A56" s="13" t="str">
        <f>Financials!I28</f>
        <v>Accounts payable</v>
      </c>
      <c r="B56" s="23">
        <f>Financials!J28</f>
        <v>1099</v>
      </c>
      <c r="C56" s="9">
        <f>Financials!K28</f>
        <v>1333</v>
      </c>
      <c r="D56" s="9">
        <f>Financials!L28</f>
        <v>1494</v>
      </c>
      <c r="E56" s="9">
        <f>Financials!M28</f>
        <v>1477</v>
      </c>
      <c r="F56" s="9">
        <f>Financials!N28</f>
        <v>1678</v>
      </c>
      <c r="G56" s="9">
        <f>Financials!O28</f>
        <v>1885</v>
      </c>
      <c r="H56" s="4">
        <f>H$6*Forecasts!I42/365</f>
        <v>1998.1</v>
      </c>
      <c r="I56" s="4">
        <f>I$6*Forecasts!J42/365</f>
        <v>2068.0335</v>
      </c>
      <c r="J56" s="4">
        <f>J$6*Forecasts!K42/365</f>
        <v>2140.4146725000001</v>
      </c>
      <c r="K56" s="4">
        <f>K$6*Forecasts!L42/365</f>
        <v>2226.0312593999997</v>
      </c>
      <c r="L56" s="4">
        <f>L$6*Forecasts!M42/365</f>
        <v>2315.0725097760001</v>
      </c>
      <c r="M56" s="4">
        <f>M$6*Forecasts!N42/365</f>
        <v>2384.5246850692802</v>
      </c>
    </row>
    <row r="57" spans="1:13">
      <c r="A57" s="13" t="str">
        <f>Financials!I32</f>
        <v>Other current liabilities</v>
      </c>
      <c r="B57" s="23">
        <f>Financials!J32</f>
        <v>478</v>
      </c>
      <c r="C57" s="9">
        <f>Financials!K32</f>
        <v>455</v>
      </c>
      <c r="D57" s="9">
        <f>Financials!L32</f>
        <v>224</v>
      </c>
      <c r="E57" s="9">
        <f>Financials!M32</f>
        <v>200</v>
      </c>
      <c r="F57" s="9">
        <f>Financials!N32</f>
        <v>306</v>
      </c>
      <c r="G57" s="9">
        <f>Financials!O32</f>
        <v>251</v>
      </c>
      <c r="H57" s="4">
        <f>H$6*Forecasts!I43/365</f>
        <v>266.06</v>
      </c>
      <c r="I57" s="4">
        <f>I$6*Forecasts!J43/365</f>
        <v>275.37209999999999</v>
      </c>
      <c r="J57" s="4">
        <f>J$6*Forecasts!K43/365</f>
        <v>285.01012350000002</v>
      </c>
      <c r="K57" s="4">
        <f>K$6*Forecasts!L43/365</f>
        <v>296.41052844000001</v>
      </c>
      <c r="L57" s="4">
        <f>L$6*Forecasts!M43/365</f>
        <v>308.26694957759997</v>
      </c>
      <c r="M57" s="4">
        <f>M$6*Forecasts!N43/365</f>
        <v>317.51495806492801</v>
      </c>
    </row>
    <row r="58" spans="1:13">
      <c r="A58" s="25" t="s">
        <v>37</v>
      </c>
      <c r="B58" s="26">
        <f t="shared" ref="B58:G58" si="48">SUM(B54:B57)</f>
        <v>1577</v>
      </c>
      <c r="C58" s="27">
        <f t="shared" si="48"/>
        <v>2720</v>
      </c>
      <c r="D58" s="27">
        <f t="shared" si="48"/>
        <v>2737</v>
      </c>
      <c r="E58" s="27">
        <f t="shared" si="48"/>
        <v>2607</v>
      </c>
      <c r="F58" s="27">
        <f t="shared" si="48"/>
        <v>3204</v>
      </c>
      <c r="G58" s="27">
        <f t="shared" si="48"/>
        <v>3308</v>
      </c>
      <c r="H58" s="27">
        <f t="shared" ref="H58:L58" si="49">SUM(H54:H57)</f>
        <v>3506.48</v>
      </c>
      <c r="I58" s="27">
        <f t="shared" si="49"/>
        <v>3629.2068000000004</v>
      </c>
      <c r="J58" s="27">
        <f t="shared" si="49"/>
        <v>3756.2290380000004</v>
      </c>
      <c r="K58" s="27">
        <f t="shared" si="49"/>
        <v>3906.4781995200001</v>
      </c>
      <c r="L58" s="27">
        <f t="shared" si="49"/>
        <v>4062.7373275007999</v>
      </c>
      <c r="M58" s="27">
        <f t="shared" ref="M58" si="50">SUM(M54:M57)</f>
        <v>4184.6194473258238</v>
      </c>
    </row>
    <row r="59" spans="1:13">
      <c r="A59" s="13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5" customHeight="1">
      <c r="A60" s="13" t="s">
        <v>38</v>
      </c>
      <c r="B60" s="28">
        <f t="shared" ref="B60:G60" si="51">B52-B58</f>
        <v>2350.84</v>
      </c>
      <c r="C60" s="29">
        <f t="shared" si="51"/>
        <v>1044.48</v>
      </c>
      <c r="D60" s="29">
        <f t="shared" si="51"/>
        <v>1132.8000000000002</v>
      </c>
      <c r="E60" s="29">
        <f t="shared" si="51"/>
        <v>1036.48</v>
      </c>
      <c r="F60" s="29">
        <f t="shared" si="51"/>
        <v>865.61999999999989</v>
      </c>
      <c r="G60" s="29">
        <f t="shared" si="51"/>
        <v>265.46000000000004</v>
      </c>
      <c r="H60" s="29">
        <f t="shared" ref="H60" si="52">H52-H58</f>
        <v>281.38760000000002</v>
      </c>
      <c r="I60" s="29">
        <f t="shared" ref="I60:L60" si="53">I52-I58</f>
        <v>291.23616599999923</v>
      </c>
      <c r="J60" s="29">
        <f t="shared" si="53"/>
        <v>301.42943180999919</v>
      </c>
      <c r="K60" s="29">
        <f t="shared" si="53"/>
        <v>313.48660908239981</v>
      </c>
      <c r="L60" s="29">
        <f t="shared" si="53"/>
        <v>326.02607344569651</v>
      </c>
      <c r="M60" s="29">
        <f t="shared" ref="M60" si="54">M52-M58</f>
        <v>335.80685564906707</v>
      </c>
    </row>
    <row r="61" spans="1:13">
      <c r="A61" s="13" t="str">
        <f>Financials!I15</f>
        <v>Property, plant, and equipment</v>
      </c>
      <c r="B61" s="23">
        <f>Financials!J15</f>
        <v>770</v>
      </c>
      <c r="C61" s="9">
        <f>Financials!K15</f>
        <v>1364</v>
      </c>
      <c r="D61" s="9">
        <f>Financials!L15</f>
        <v>1516</v>
      </c>
      <c r="E61" s="9">
        <f>Financials!M15</f>
        <v>1749</v>
      </c>
      <c r="F61" s="9">
        <f>Financials!N15</f>
        <v>2337</v>
      </c>
      <c r="G61" s="9">
        <f>Financials!O15</f>
        <v>2248</v>
      </c>
      <c r="H61" s="4">
        <f>H$6*Forecasts!I47</f>
        <v>2382.88</v>
      </c>
      <c r="I61" s="4">
        <f>I$6*Forecasts!J47</f>
        <v>2466.2808</v>
      </c>
      <c r="J61" s="4">
        <f>J$6*Forecasts!K47</f>
        <v>2552.6006280000001</v>
      </c>
      <c r="K61" s="4">
        <f>K$6*Forecasts!L47</f>
        <v>2654.7046531199999</v>
      </c>
      <c r="L61" s="4">
        <f>L$6*Forecasts!M47</f>
        <v>2760.8928392448001</v>
      </c>
      <c r="M61" s="4">
        <f>M$6*Forecasts!N47</f>
        <v>2843.7196244221441</v>
      </c>
    </row>
    <row r="62" spans="1:13">
      <c r="A62" s="13" t="str">
        <f>Financials!I22</f>
        <v>Other non current assets</v>
      </c>
      <c r="B62" s="23">
        <f>Financials!J22</f>
        <v>0</v>
      </c>
      <c r="C62" s="9">
        <f>Financials!K22</f>
        <v>223</v>
      </c>
      <c r="D62" s="9">
        <f>Financials!L22</f>
        <v>104</v>
      </c>
      <c r="E62" s="9">
        <f>Financials!M22</f>
        <v>67</v>
      </c>
      <c r="F62" s="9">
        <f>Financials!N22</f>
        <v>4</v>
      </c>
      <c r="G62" s="9">
        <f>Financials!O22</f>
        <v>14</v>
      </c>
      <c r="H62" s="4">
        <f>H$6*Forecasts!I48</f>
        <v>14.840000000000002</v>
      </c>
      <c r="I62" s="4">
        <f>I$6*Forecasts!J48</f>
        <v>15.359400000000001</v>
      </c>
      <c r="J62" s="4">
        <f>J$6*Forecasts!K48</f>
        <v>15.896979</v>
      </c>
      <c r="K62" s="4">
        <f>K$6*Forecasts!L48</f>
        <v>16.53285816</v>
      </c>
      <c r="L62" s="4">
        <f>L$6*Forecasts!M48</f>
        <v>17.194172486399999</v>
      </c>
      <c r="M62" s="4">
        <f>M$6*Forecasts!N48</f>
        <v>17.709997660992002</v>
      </c>
    </row>
    <row r="63" spans="1:13">
      <c r="A63" s="14" t="str">
        <f>Financials!I40</f>
        <v>Other non-current liabilities</v>
      </c>
      <c r="B63" s="31">
        <f>-Financials!J40</f>
        <v>0</v>
      </c>
      <c r="C63" s="32">
        <f>-Financials!K40</f>
        <v>-59</v>
      </c>
      <c r="D63" s="32">
        <f>-Financials!L40</f>
        <v>-8</v>
      </c>
      <c r="E63" s="32">
        <f>-Financials!M40</f>
        <v>-10</v>
      </c>
      <c r="F63" s="32">
        <f>-Financials!N40</f>
        <v>-9</v>
      </c>
      <c r="G63" s="32">
        <f>-Financials!O40</f>
        <v>-20</v>
      </c>
      <c r="H63" s="4">
        <f>H$6*Forecasts!I49</f>
        <v>-21.200000000000003</v>
      </c>
      <c r="I63" s="4">
        <f>I$6*Forecasts!J49</f>
        <v>-21.942</v>
      </c>
      <c r="J63" s="4">
        <f>J$6*Forecasts!K49</f>
        <v>-22.709969999999998</v>
      </c>
      <c r="K63" s="4">
        <f>K$6*Forecasts!L49</f>
        <v>-23.618368799999999</v>
      </c>
      <c r="L63" s="4">
        <f>L$6*Forecasts!M49</f>
        <v>-24.563103551999998</v>
      </c>
      <c r="M63" s="4">
        <f>M$6*Forecasts!N49</f>
        <v>-25.299996658560001</v>
      </c>
    </row>
    <row r="64" spans="1:13" ht="15.75" thickBot="1">
      <c r="A64" s="33" t="s">
        <v>133</v>
      </c>
      <c r="B64" s="34">
        <f t="shared" ref="B64:G64" si="55">SUM(B60:B63)</f>
        <v>3120.84</v>
      </c>
      <c r="C64" s="35">
        <f t="shared" si="55"/>
        <v>2572.48</v>
      </c>
      <c r="D64" s="35">
        <f t="shared" si="55"/>
        <v>2744.8</v>
      </c>
      <c r="E64" s="35">
        <f t="shared" si="55"/>
        <v>2842.48</v>
      </c>
      <c r="F64" s="35">
        <f t="shared" si="55"/>
        <v>3197.62</v>
      </c>
      <c r="G64" s="35">
        <f t="shared" si="55"/>
        <v>2507.46</v>
      </c>
      <c r="H64" s="35">
        <f t="shared" ref="H64:L64" si="56">SUM(H60:H63)</f>
        <v>2657.9076000000005</v>
      </c>
      <c r="I64" s="35">
        <f t="shared" si="56"/>
        <v>2750.934365999999</v>
      </c>
      <c r="J64" s="35">
        <f t="shared" si="56"/>
        <v>2847.2170688099995</v>
      </c>
      <c r="K64" s="35">
        <f t="shared" si="56"/>
        <v>2961.1057515623997</v>
      </c>
      <c r="L64" s="35">
        <f t="shared" si="56"/>
        <v>3079.5499816248966</v>
      </c>
      <c r="M64" s="35">
        <f t="shared" ref="M64" si="57">SUM(M60:M63)</f>
        <v>3171.9364810736433</v>
      </c>
    </row>
    <row r="65" spans="1:13" ht="15.75" thickTop="1">
      <c r="A65" s="13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>
      <c r="A66" s="13" t="s">
        <v>39</v>
      </c>
      <c r="B66" s="23">
        <f>Financials!J16</f>
        <v>4554</v>
      </c>
      <c r="C66" s="9">
        <f>Financials!K16</f>
        <v>5660</v>
      </c>
      <c r="D66" s="9">
        <f>Financials!L16</f>
        <v>5487</v>
      </c>
      <c r="E66" s="9">
        <f>Financials!M16</f>
        <v>4940</v>
      </c>
      <c r="F66" s="9">
        <f>Financials!N16</f>
        <v>8392</v>
      </c>
      <c r="G66" s="9">
        <f>Financials!O16</f>
        <v>8218</v>
      </c>
      <c r="H66" s="4">
        <f>G66</f>
        <v>8218</v>
      </c>
      <c r="I66" s="4">
        <f t="shared" ref="I66:M66" si="58">H66</f>
        <v>8218</v>
      </c>
      <c r="J66" s="4">
        <f t="shared" si="58"/>
        <v>8218</v>
      </c>
      <c r="K66" s="4">
        <f t="shared" si="58"/>
        <v>8218</v>
      </c>
      <c r="L66" s="4">
        <f t="shared" si="58"/>
        <v>8218</v>
      </c>
      <c r="M66" s="4">
        <f t="shared" si="58"/>
        <v>8218</v>
      </c>
    </row>
    <row r="67" spans="1:13" ht="15.75" thickBot="1">
      <c r="A67" s="53" t="s">
        <v>134</v>
      </c>
      <c r="B67" s="34">
        <f t="shared" ref="B67:G67" si="59">B64+B66</f>
        <v>7674.84</v>
      </c>
      <c r="C67" s="35">
        <f t="shared" si="59"/>
        <v>8232.48</v>
      </c>
      <c r="D67" s="35">
        <f t="shared" si="59"/>
        <v>8231.7999999999993</v>
      </c>
      <c r="E67" s="35">
        <f t="shared" si="59"/>
        <v>7782.48</v>
      </c>
      <c r="F67" s="35">
        <f t="shared" si="59"/>
        <v>11589.619999999999</v>
      </c>
      <c r="G67" s="35">
        <f t="shared" si="59"/>
        <v>10725.46</v>
      </c>
      <c r="H67" s="35">
        <f t="shared" ref="H67:L67" si="60">H64+H66</f>
        <v>10875.9076</v>
      </c>
      <c r="I67" s="35">
        <f t="shared" si="60"/>
        <v>10968.934365999999</v>
      </c>
      <c r="J67" s="35">
        <f t="shared" si="60"/>
        <v>11065.21706881</v>
      </c>
      <c r="K67" s="35">
        <f t="shared" si="60"/>
        <v>11179.1057515624</v>
      </c>
      <c r="L67" s="35">
        <f t="shared" si="60"/>
        <v>11297.549981624896</v>
      </c>
      <c r="M67" s="35">
        <f t="shared" ref="M67" si="61">M64+M66</f>
        <v>11389.936481073644</v>
      </c>
    </row>
    <row r="68" spans="1:13" ht="15.75" thickTop="1">
      <c r="A68" s="13"/>
      <c r="B68" s="13"/>
      <c r="C68" s="13"/>
      <c r="D68" s="13"/>
      <c r="E68" s="13"/>
      <c r="F68" s="13"/>
      <c r="G68" s="13"/>
      <c r="H68" s="1"/>
      <c r="I68" s="1"/>
      <c r="J68" s="1"/>
      <c r="K68" s="1"/>
      <c r="L68" s="1"/>
      <c r="M68" s="1"/>
    </row>
    <row r="69" spans="1:13">
      <c r="A69" s="13"/>
      <c r="B69" s="13"/>
      <c r="C69" s="13"/>
      <c r="D69" s="13"/>
      <c r="E69" s="13"/>
      <c r="F69" s="13"/>
      <c r="G69" s="13"/>
      <c r="H69" s="1"/>
      <c r="I69" s="1"/>
      <c r="J69" s="1"/>
      <c r="K69" s="1"/>
      <c r="L69" s="1"/>
      <c r="M69" s="1"/>
    </row>
    <row r="70" spans="1:13">
      <c r="H70" s="1"/>
      <c r="I70" s="1"/>
      <c r="J70" s="1"/>
      <c r="K70" s="1"/>
      <c r="L70" s="1"/>
      <c r="M70" s="1"/>
    </row>
    <row r="71" spans="1:13">
      <c r="A71" s="2" t="str">
        <f>company_name</f>
        <v>Henkel AG</v>
      </c>
      <c r="H71" s="1"/>
      <c r="I71" s="1"/>
      <c r="J71" s="1"/>
      <c r="K71" s="1"/>
      <c r="L71" s="1"/>
      <c r="M71" s="1"/>
    </row>
    <row r="72" spans="1:13">
      <c r="A72" s="1" t="s">
        <v>97</v>
      </c>
      <c r="H72" s="1"/>
      <c r="I72" s="1"/>
      <c r="J72" s="1"/>
      <c r="K72" s="1"/>
      <c r="L72" s="1"/>
      <c r="M72" s="1"/>
    </row>
    <row r="73" spans="1:13">
      <c r="H73" s="1"/>
      <c r="I73" s="1"/>
      <c r="J73" s="1"/>
      <c r="K73" s="1"/>
      <c r="L73" s="1"/>
      <c r="M73" s="1"/>
    </row>
    <row r="74" spans="1:13">
      <c r="A74" s="3" t="s">
        <v>35</v>
      </c>
      <c r="B74" s="3">
        <v>2004</v>
      </c>
      <c r="C74" s="3">
        <f>B74+1</f>
        <v>2005</v>
      </c>
      <c r="D74" s="3">
        <f>C74+1</f>
        <v>2006</v>
      </c>
      <c r="E74" s="3">
        <f>D74+1</f>
        <v>2007</v>
      </c>
      <c r="F74" s="3">
        <f>E74+1</f>
        <v>2008</v>
      </c>
      <c r="G74" s="3">
        <f>F74+1</f>
        <v>2009</v>
      </c>
      <c r="H74" s="1"/>
      <c r="I74" s="1"/>
      <c r="J74" s="1"/>
      <c r="K74" s="1"/>
      <c r="L74" s="1"/>
      <c r="M74" s="1"/>
    </row>
    <row r="75" spans="1:13">
      <c r="A75" s="13" t="s">
        <v>102</v>
      </c>
      <c r="B75" s="23">
        <f t="shared" ref="B75:G75" si="62">B67</f>
        <v>7674.84</v>
      </c>
      <c r="C75" s="9">
        <f t="shared" si="62"/>
        <v>8232.48</v>
      </c>
      <c r="D75" s="9">
        <f t="shared" si="62"/>
        <v>8231.7999999999993</v>
      </c>
      <c r="E75" s="9">
        <f t="shared" si="62"/>
        <v>7782.48</v>
      </c>
      <c r="F75" s="9">
        <f t="shared" si="62"/>
        <v>11589.619999999999</v>
      </c>
      <c r="G75" s="9">
        <f t="shared" si="62"/>
        <v>10725.46</v>
      </c>
      <c r="H75" s="1"/>
      <c r="I75" s="1"/>
      <c r="J75" s="1"/>
      <c r="K75" s="1"/>
      <c r="L75" s="1"/>
      <c r="M75" s="1"/>
    </row>
    <row r="76" spans="1:13">
      <c r="A76" s="37" t="s">
        <v>40</v>
      </c>
      <c r="B76" s="28">
        <f>Financials!J6-B47</f>
        <v>1483.16</v>
      </c>
      <c r="C76" s="29">
        <f>Financials!K6-C47</f>
        <v>972.52</v>
      </c>
      <c r="D76" s="29">
        <f>Financials!L6-D47</f>
        <v>674.2</v>
      </c>
      <c r="E76" s="29">
        <f>Financials!M6-E47</f>
        <v>1178.52</v>
      </c>
      <c r="F76" s="29">
        <f>Financials!N6-F47</f>
        <v>55.379999999999995</v>
      </c>
      <c r="G76" s="29">
        <f>Financials!O6-G47</f>
        <v>838.54</v>
      </c>
      <c r="H76" s="1"/>
      <c r="I76" s="1"/>
      <c r="J76" s="1"/>
      <c r="K76" s="1"/>
      <c r="L76" s="1"/>
      <c r="M76" s="1"/>
    </row>
    <row r="77" spans="1:13">
      <c r="A77" s="37" t="s">
        <v>62</v>
      </c>
      <c r="B77" s="28">
        <f>Financials!J18</f>
        <v>463</v>
      </c>
      <c r="C77" s="29">
        <f>Financials!K18</f>
        <v>530</v>
      </c>
      <c r="D77" s="29">
        <f>Financials!L18</f>
        <v>496</v>
      </c>
      <c r="E77" s="29">
        <f>Financials!M18</f>
        <v>295</v>
      </c>
      <c r="F77" s="29">
        <f>Financials!N18</f>
        <v>1</v>
      </c>
      <c r="G77" s="29">
        <f>Financials!O18</f>
        <v>0</v>
      </c>
      <c r="H77" s="1"/>
      <c r="I77" s="1"/>
      <c r="J77" s="1"/>
      <c r="K77" s="1"/>
      <c r="L77" s="1"/>
      <c r="M77" s="1"/>
    </row>
    <row r="78" spans="1:13">
      <c r="A78" s="37" t="s">
        <v>63</v>
      </c>
      <c r="B78" s="28">
        <f>Financials!J19</f>
        <v>575</v>
      </c>
      <c r="C78" s="29">
        <f>Financials!K19</f>
        <v>151</v>
      </c>
      <c r="D78" s="29">
        <f>Financials!L19</f>
        <v>66</v>
      </c>
      <c r="E78" s="29">
        <f>Financials!M19</f>
        <v>33</v>
      </c>
      <c r="F78" s="29">
        <f>Financials!N19</f>
        <v>23</v>
      </c>
      <c r="G78" s="29">
        <f>Financials!O19</f>
        <v>0</v>
      </c>
      <c r="H78" s="1"/>
      <c r="I78" s="1"/>
      <c r="J78" s="1"/>
      <c r="K78" s="1"/>
      <c r="L78" s="1"/>
      <c r="M78" s="1"/>
    </row>
    <row r="79" spans="1:13">
      <c r="A79" s="13" t="s">
        <v>43</v>
      </c>
      <c r="B79" s="23">
        <f>Financials!J10+Financials!J20-Financials!J30-Financials!J37</f>
        <v>1038</v>
      </c>
      <c r="C79" s="9">
        <f>Financials!K10+Financials!K20-Financials!K30-Financials!K37</f>
        <v>681</v>
      </c>
      <c r="D79" s="9">
        <f>Financials!L10+Financials!L20-Financials!L30-Financials!L37</f>
        <v>545</v>
      </c>
      <c r="E79" s="9">
        <f>Financials!M10+Financials!M20-Financials!M30-Financials!M37</f>
        <v>375</v>
      </c>
      <c r="F79" s="9">
        <f>Financials!N10+Financials!N20-Financials!N30-Financials!N37</f>
        <v>425</v>
      </c>
      <c r="G79" s="9">
        <f>Financials!O10+Financials!O20-Financials!O30-Financials!O37</f>
        <v>341</v>
      </c>
      <c r="H79" s="1"/>
      <c r="I79" s="1"/>
      <c r="J79" s="1"/>
      <c r="K79" s="1"/>
      <c r="L79" s="1"/>
      <c r="M79" s="1"/>
    </row>
    <row r="80" spans="1:13">
      <c r="A80" s="37" t="s">
        <v>23</v>
      </c>
      <c r="B80" s="28">
        <f>Financials!J21</f>
        <v>327</v>
      </c>
      <c r="C80" s="29">
        <f>Financials!K21</f>
        <v>456</v>
      </c>
      <c r="D80" s="29">
        <f>Financials!L21</f>
        <v>363</v>
      </c>
      <c r="E80" s="29">
        <f>Financials!M21</f>
        <v>249</v>
      </c>
      <c r="F80" s="29">
        <f>Financials!N21</f>
        <v>305</v>
      </c>
      <c r="G80" s="29">
        <f>Financials!O21</f>
        <v>322</v>
      </c>
      <c r="H80" s="1"/>
      <c r="I80" s="1"/>
      <c r="J80" s="1"/>
      <c r="K80" s="1"/>
      <c r="L80" s="1"/>
      <c r="M80" s="1"/>
    </row>
    <row r="81" spans="1:13">
      <c r="A81" s="14" t="s">
        <v>61</v>
      </c>
      <c r="B81" s="31">
        <f>Financials!J11</f>
        <v>0</v>
      </c>
      <c r="C81" s="32">
        <f>Financials!K11</f>
        <v>142</v>
      </c>
      <c r="D81" s="32">
        <f>Financials!L11</f>
        <v>14</v>
      </c>
      <c r="E81" s="32">
        <f>Financials!M11</f>
        <v>125</v>
      </c>
      <c r="F81" s="32">
        <f>Financials!N11</f>
        <v>113</v>
      </c>
      <c r="G81" s="32">
        <f>Financials!O11</f>
        <v>30</v>
      </c>
      <c r="H81" s="1"/>
      <c r="I81" s="1"/>
      <c r="J81" s="1"/>
      <c r="K81" s="1"/>
      <c r="L81" s="1"/>
      <c r="M81" s="1"/>
    </row>
    <row r="82" spans="1:13" ht="15.75" thickBot="1">
      <c r="A82" s="33" t="s">
        <v>41</v>
      </c>
      <c r="B82" s="34">
        <f t="shared" ref="B82:G82" si="63">SUM(B75:B81)</f>
        <v>11561</v>
      </c>
      <c r="C82" s="35">
        <f t="shared" si="63"/>
        <v>11165</v>
      </c>
      <c r="D82" s="35">
        <f t="shared" si="63"/>
        <v>10390</v>
      </c>
      <c r="E82" s="35">
        <f t="shared" si="63"/>
        <v>10038</v>
      </c>
      <c r="F82" s="35">
        <f t="shared" si="63"/>
        <v>12511.999999999998</v>
      </c>
      <c r="G82" s="35">
        <f t="shared" si="63"/>
        <v>12257</v>
      </c>
      <c r="H82" s="1"/>
      <c r="I82" s="1"/>
      <c r="J82" s="1"/>
      <c r="K82" s="1"/>
      <c r="L82" s="1"/>
      <c r="M82" s="1"/>
    </row>
    <row r="83" spans="1:13" ht="15.75" thickTop="1">
      <c r="A83" s="13"/>
      <c r="B83" s="13"/>
      <c r="C83" s="9"/>
      <c r="D83" s="9"/>
      <c r="E83" s="9"/>
      <c r="F83" s="9"/>
      <c r="G83" s="9"/>
      <c r="H83" s="1"/>
      <c r="I83" s="1"/>
      <c r="J83" s="1"/>
      <c r="K83" s="1"/>
      <c r="L83" s="1"/>
      <c r="M83" s="1"/>
    </row>
    <row r="84" spans="1:13">
      <c r="A84" s="13"/>
      <c r="B84" s="13"/>
      <c r="C84" s="9"/>
      <c r="D84" s="9"/>
      <c r="E84" s="9"/>
      <c r="F84" s="9"/>
      <c r="G84" s="9"/>
      <c r="H84" s="1"/>
      <c r="I84" s="1"/>
      <c r="J84" s="1"/>
      <c r="K84" s="1"/>
      <c r="L84" s="1"/>
      <c r="M84" s="1"/>
    </row>
    <row r="85" spans="1:13">
      <c r="A85" s="21" t="s">
        <v>35</v>
      </c>
      <c r="B85" s="21">
        <v>2004</v>
      </c>
      <c r="C85" s="38">
        <f>B85+1</f>
        <v>2005</v>
      </c>
      <c r="D85" s="38">
        <f>C85+1</f>
        <v>2006</v>
      </c>
      <c r="E85" s="38">
        <f>D85+1</f>
        <v>2007</v>
      </c>
      <c r="F85" s="38">
        <f>E85+1</f>
        <v>2008</v>
      </c>
      <c r="G85" s="38">
        <f>F85+1</f>
        <v>2009</v>
      </c>
      <c r="H85" s="1"/>
      <c r="I85" s="1"/>
      <c r="J85" s="1"/>
      <c r="K85" s="1"/>
      <c r="L85" s="1"/>
      <c r="M85" s="1"/>
    </row>
    <row r="86" spans="1:13">
      <c r="A86" s="13" t="s">
        <v>65</v>
      </c>
      <c r="B86" s="23">
        <f>Financials!J27</f>
        <v>1789</v>
      </c>
      <c r="C86" s="9">
        <f>Financials!K27</f>
        <v>1405</v>
      </c>
      <c r="D86" s="9">
        <f>Financials!L27</f>
        <v>1012</v>
      </c>
      <c r="E86" s="9">
        <f>Financials!M27</f>
        <v>838</v>
      </c>
      <c r="F86" s="9">
        <f>Financials!N27</f>
        <v>1817</v>
      </c>
      <c r="G86" s="9">
        <f>Financials!O27</f>
        <v>660</v>
      </c>
      <c r="H86" s="1"/>
      <c r="I86" s="1"/>
      <c r="J86" s="1"/>
      <c r="K86" s="1"/>
      <c r="L86" s="1"/>
      <c r="M86" s="1"/>
    </row>
    <row r="87" spans="1:13">
      <c r="A87" s="13" t="s">
        <v>28</v>
      </c>
      <c r="B87" s="23">
        <f>Financials!J35</f>
        <v>1385</v>
      </c>
      <c r="C87" s="9">
        <f>Financials!K35</f>
        <v>2400</v>
      </c>
      <c r="D87" s="9">
        <f>Financials!L35</f>
        <v>2322</v>
      </c>
      <c r="E87" s="9">
        <f>Financials!M35</f>
        <v>2304</v>
      </c>
      <c r="F87" s="9">
        <f>Financials!N35</f>
        <v>2402</v>
      </c>
      <c r="G87" s="9">
        <f>Financials!O35</f>
        <v>3426</v>
      </c>
      <c r="H87" s="1"/>
      <c r="I87" s="1"/>
      <c r="J87" s="1"/>
      <c r="K87" s="1"/>
      <c r="L87" s="1"/>
      <c r="M87" s="1"/>
    </row>
    <row r="88" spans="1:13">
      <c r="A88" s="13" t="s">
        <v>26</v>
      </c>
      <c r="B88" s="23">
        <f>Financials!J36</f>
        <v>1815</v>
      </c>
      <c r="C88" s="9">
        <f>Financials!K36</f>
        <v>1061</v>
      </c>
      <c r="D88" s="9">
        <f>Financials!L36</f>
        <v>788</v>
      </c>
      <c r="E88" s="9">
        <f>Financials!M36</f>
        <v>657</v>
      </c>
      <c r="F88" s="9">
        <f>Financials!N36</f>
        <v>833</v>
      </c>
      <c r="G88" s="9">
        <f>Financials!O36</f>
        <v>867</v>
      </c>
      <c r="H88" s="1"/>
      <c r="I88" s="1"/>
      <c r="J88" s="1"/>
      <c r="K88" s="1"/>
      <c r="L88" s="1"/>
      <c r="M88" s="1"/>
    </row>
    <row r="89" spans="1:13">
      <c r="A89" s="13" t="s">
        <v>27</v>
      </c>
      <c r="B89" s="23">
        <f>Financials!J39</f>
        <v>1513</v>
      </c>
      <c r="C89" s="9">
        <f>Financials!K39</f>
        <v>0</v>
      </c>
      <c r="D89" s="9">
        <f>Financials!L39</f>
        <v>126</v>
      </c>
      <c r="E89" s="9">
        <f>Financials!M39</f>
        <v>119</v>
      </c>
      <c r="F89" s="9">
        <f>Financials!N39</f>
        <v>336</v>
      </c>
      <c r="G89" s="9">
        <f>Financials!O39</f>
        <v>241</v>
      </c>
      <c r="H89" s="1"/>
      <c r="I89" s="1"/>
      <c r="J89" s="1"/>
      <c r="K89" s="1"/>
      <c r="L89" s="1"/>
      <c r="M89" s="1"/>
    </row>
    <row r="90" spans="1:13">
      <c r="A90" s="25" t="s">
        <v>50</v>
      </c>
      <c r="B90" s="26">
        <f t="shared" ref="B90:G90" si="64">SUM(B86:B89)</f>
        <v>6502</v>
      </c>
      <c r="C90" s="27">
        <f t="shared" si="64"/>
        <v>4866</v>
      </c>
      <c r="D90" s="27">
        <f t="shared" si="64"/>
        <v>4248</v>
      </c>
      <c r="E90" s="27">
        <f t="shared" si="64"/>
        <v>3918</v>
      </c>
      <c r="F90" s="27">
        <f t="shared" si="64"/>
        <v>5388</v>
      </c>
      <c r="G90" s="27">
        <f t="shared" si="64"/>
        <v>5194</v>
      </c>
      <c r="H90" s="1"/>
      <c r="I90" s="1"/>
      <c r="J90" s="1"/>
      <c r="K90" s="1"/>
      <c r="L90" s="1"/>
      <c r="M90" s="1"/>
    </row>
    <row r="91" spans="1:13">
      <c r="A91" s="37"/>
      <c r="B91" s="28"/>
      <c r="C91" s="29"/>
      <c r="D91" s="29"/>
      <c r="E91" s="29"/>
      <c r="F91" s="29"/>
      <c r="G91" s="29"/>
      <c r="H91" s="1"/>
      <c r="I91" s="1"/>
      <c r="J91" s="1"/>
      <c r="K91" s="1"/>
      <c r="L91" s="1"/>
      <c r="M91" s="1"/>
    </row>
    <row r="92" spans="1:13">
      <c r="A92" s="13" t="s">
        <v>29</v>
      </c>
      <c r="B92" s="23">
        <f>Financials!J38</f>
        <v>455</v>
      </c>
      <c r="C92" s="9">
        <f>Financials!K38</f>
        <v>900</v>
      </c>
      <c r="D92" s="9">
        <f>Financials!L38</f>
        <v>595</v>
      </c>
      <c r="E92" s="9">
        <f>Financials!M38</f>
        <v>414</v>
      </c>
      <c r="F92" s="9">
        <f>Financials!N38</f>
        <v>589</v>
      </c>
      <c r="G92" s="9">
        <f>Financials!O38</f>
        <v>519</v>
      </c>
      <c r="H92" s="1"/>
      <c r="I92" s="1"/>
      <c r="J92" s="1"/>
      <c r="K92" s="1"/>
      <c r="L92" s="1"/>
      <c r="M92" s="1"/>
    </row>
    <row r="93" spans="1:13">
      <c r="A93" s="37" t="s">
        <v>51</v>
      </c>
      <c r="B93" s="23">
        <f>Financials!J43</f>
        <v>16</v>
      </c>
      <c r="C93" s="9">
        <f>Financials!K43</f>
        <v>28</v>
      </c>
      <c r="D93" s="9">
        <f>Financials!L43</f>
        <v>60</v>
      </c>
      <c r="E93" s="9">
        <f>Financials!M43</f>
        <v>63</v>
      </c>
      <c r="F93" s="9">
        <f>Financials!N43</f>
        <v>51</v>
      </c>
      <c r="G93" s="9">
        <f>Financials!O43</f>
        <v>70</v>
      </c>
      <c r="H93" s="1"/>
      <c r="I93" s="1"/>
      <c r="J93" s="1"/>
      <c r="K93" s="1"/>
      <c r="L93" s="1"/>
      <c r="M93" s="1"/>
    </row>
    <row r="94" spans="1:13">
      <c r="A94" s="37"/>
      <c r="B94" s="23"/>
      <c r="C94" s="9"/>
      <c r="D94" s="9"/>
      <c r="E94" s="9"/>
      <c r="F94" s="9"/>
      <c r="G94" s="9"/>
      <c r="H94" s="1"/>
      <c r="I94" s="1"/>
      <c r="J94" s="1"/>
      <c r="K94" s="1"/>
      <c r="L94" s="1"/>
      <c r="M94" s="1"/>
    </row>
    <row r="95" spans="1:13">
      <c r="A95" s="1" t="s">
        <v>1</v>
      </c>
      <c r="B95" s="8">
        <f>Financials!J45</f>
        <v>374</v>
      </c>
      <c r="C95" s="8">
        <f>Financials!K45</f>
        <v>374</v>
      </c>
      <c r="D95" s="8">
        <f>Financials!L45</f>
        <v>374</v>
      </c>
      <c r="E95" s="8">
        <f>Financials!M45</f>
        <v>438</v>
      </c>
      <c r="F95" s="8">
        <f>Financials!N45</f>
        <v>438</v>
      </c>
      <c r="G95" s="8">
        <f>Financials!O45</f>
        <v>438</v>
      </c>
      <c r="H95" s="1"/>
      <c r="I95" s="1"/>
      <c r="J95" s="1"/>
      <c r="K95" s="1"/>
      <c r="L95" s="1"/>
      <c r="M95" s="1"/>
    </row>
    <row r="96" spans="1:13">
      <c r="A96" s="1" t="s">
        <v>2</v>
      </c>
      <c r="B96" s="8">
        <f>Financials!J46</f>
        <v>652</v>
      </c>
      <c r="C96" s="8">
        <f>Financials!K46</f>
        <v>652</v>
      </c>
      <c r="D96" s="8">
        <f>Financials!L46</f>
        <v>652</v>
      </c>
      <c r="E96" s="8">
        <f>Financials!M46</f>
        <v>652</v>
      </c>
      <c r="F96" s="8">
        <f>Financials!N46</f>
        <v>652</v>
      </c>
      <c r="G96" s="8">
        <f>Financials!O46</f>
        <v>652</v>
      </c>
      <c r="H96" s="1"/>
      <c r="I96" s="1"/>
      <c r="J96" s="1"/>
      <c r="K96" s="1"/>
      <c r="L96" s="1"/>
      <c r="M96" s="1"/>
    </row>
    <row r="97" spans="1:13">
      <c r="A97" s="1" t="s">
        <v>3</v>
      </c>
      <c r="B97" s="8">
        <f>Financials!J47</f>
        <v>4544</v>
      </c>
      <c r="C97" s="8">
        <f>Financials!K47</f>
        <v>4764</v>
      </c>
      <c r="D97" s="8">
        <f>Financials!L47</f>
        <v>5362</v>
      </c>
      <c r="E97" s="8">
        <f>Financials!M47</f>
        <v>5963</v>
      </c>
      <c r="F97" s="8">
        <f>Financials!N47</f>
        <v>6805</v>
      </c>
      <c r="G97" s="8">
        <f>Financials!O47</f>
        <v>6908</v>
      </c>
      <c r="H97" s="1"/>
      <c r="I97" s="1"/>
      <c r="J97" s="1"/>
      <c r="K97" s="1"/>
      <c r="L97" s="1"/>
      <c r="M97" s="1"/>
    </row>
    <row r="98" spans="1:13">
      <c r="A98" s="1" t="s">
        <v>4</v>
      </c>
      <c r="B98" s="8">
        <f>Financials!J48</f>
        <v>-982</v>
      </c>
      <c r="C98" s="8">
        <f>Financials!K48</f>
        <v>-419</v>
      </c>
      <c r="D98" s="8">
        <f>Financials!L48</f>
        <v>-901</v>
      </c>
      <c r="E98" s="8">
        <f>Financials!M48</f>
        <v>-1410</v>
      </c>
      <c r="F98" s="8">
        <f>Financials!N48</f>
        <v>-1411</v>
      </c>
      <c r="G98" s="8">
        <f>Financials!O48</f>
        <v>-1524</v>
      </c>
      <c r="H98" s="1"/>
      <c r="I98" s="1"/>
      <c r="J98" s="1"/>
      <c r="K98" s="1"/>
      <c r="L98" s="1"/>
      <c r="M98" s="1"/>
    </row>
    <row r="99" spans="1:13" ht="15.75" thickBot="1">
      <c r="A99" s="33" t="s">
        <v>41</v>
      </c>
      <c r="B99" s="35">
        <f t="shared" ref="B99:F99" si="65">SUM(B90:B98)</f>
        <v>11561</v>
      </c>
      <c r="C99" s="35">
        <f t="shared" si="65"/>
        <v>11165</v>
      </c>
      <c r="D99" s="35">
        <f t="shared" si="65"/>
        <v>10390</v>
      </c>
      <c r="E99" s="35">
        <f t="shared" si="65"/>
        <v>10038</v>
      </c>
      <c r="F99" s="35">
        <f t="shared" si="65"/>
        <v>12512</v>
      </c>
      <c r="G99" s="35">
        <f t="shared" ref="G99" si="66">SUM(G90:G98)</f>
        <v>12257</v>
      </c>
    </row>
    <row r="100" spans="1:13" ht="15.75" thickTop="1"/>
  </sheetData>
  <mergeCells count="2">
    <mergeCell ref="H3:M3"/>
    <mergeCell ref="H44:M44"/>
  </mergeCells>
  <pageMargins left="0.7" right="0.7" top="0.75" bottom="0.75" header="0.3" footer="0.3"/>
  <pageSetup scale="70" orientation="landscape" r:id="rId1"/>
  <headerFooter>
    <oddHeader>&amp;C&amp;"Calibri,Bold"&amp;12Henkel AG
Reorganized Financial Statements</oddHeader>
  </headerFooter>
  <rowBreaks count="2" manualBreakCount="2">
    <brk id="42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2:Q39"/>
  <sheetViews>
    <sheetView zoomScale="85" zoomScaleNormal="85" zoomScalePageLayoutView="75" workbookViewId="0">
      <selection activeCell="A2" sqref="A2"/>
    </sheetView>
  </sheetViews>
  <sheetFormatPr defaultColWidth="8.85546875" defaultRowHeight="13.5" customHeight="1" outlineLevelCol="1"/>
  <cols>
    <col min="1" max="1" width="43.28515625" style="1" customWidth="1"/>
    <col min="2" max="2" width="7.85546875" style="1" hidden="1" customWidth="1" outlineLevel="1"/>
    <col min="3" max="3" width="7.85546875" style="1" customWidth="1" collapsed="1"/>
    <col min="4" max="7" width="7.85546875" style="1" customWidth="1"/>
    <col min="8" max="8" width="11.28515625" style="1" customWidth="1"/>
    <col min="9" max="9" width="9.7109375" style="1" customWidth="1"/>
    <col min="10" max="10" width="44.5703125" style="1" customWidth="1"/>
    <col min="11" max="11" width="7.85546875" style="1" hidden="1" customWidth="1" outlineLevel="1"/>
    <col min="12" max="12" width="7.85546875" style="1" customWidth="1" collapsed="1"/>
    <col min="13" max="16" width="7.85546875" style="1" customWidth="1"/>
    <col min="17" max="17" width="11.140625" style="1" customWidth="1"/>
    <col min="18" max="16384" width="8.85546875" style="1"/>
  </cols>
  <sheetData>
    <row r="2" spans="1:17" ht="13.5" customHeight="1">
      <c r="A2" s="2" t="str">
        <f>company_name</f>
        <v>Henkel AG</v>
      </c>
      <c r="J2" s="2" t="str">
        <f>company_name</f>
        <v>Henkel AG</v>
      </c>
    </row>
    <row r="3" spans="1:17" ht="13.5" customHeight="1">
      <c r="A3" s="1" t="s">
        <v>94</v>
      </c>
      <c r="J3" s="1" t="s">
        <v>94</v>
      </c>
    </row>
    <row r="4" spans="1:17" ht="13.5" customHeight="1">
      <c r="A4" s="10"/>
    </row>
    <row r="5" spans="1:17" ht="13.5" customHeight="1">
      <c r="A5" s="3" t="s">
        <v>35</v>
      </c>
      <c r="B5" s="3">
        <v>2004</v>
      </c>
      <c r="C5" s="3">
        <v>2005</v>
      </c>
      <c r="D5" s="3">
        <f>C5+1</f>
        <v>2006</v>
      </c>
      <c r="E5" s="3">
        <f>D5+1</f>
        <v>2007</v>
      </c>
      <c r="F5" s="3">
        <f>E5+1</f>
        <v>2008</v>
      </c>
      <c r="G5" s="3">
        <f>F5+1</f>
        <v>2009</v>
      </c>
      <c r="H5" s="39" t="s">
        <v>86</v>
      </c>
      <c r="J5" s="3" t="s">
        <v>45</v>
      </c>
      <c r="K5" s="3">
        <v>2004</v>
      </c>
      <c r="L5" s="3">
        <v>2005</v>
      </c>
      <c r="M5" s="3">
        <f>L5+1</f>
        <v>2006</v>
      </c>
      <c r="N5" s="3">
        <f>M5+1</f>
        <v>2007</v>
      </c>
      <c r="O5" s="3">
        <f>N5+1</f>
        <v>2008</v>
      </c>
      <c r="P5" s="3">
        <f>O5+1</f>
        <v>2009</v>
      </c>
      <c r="Q5" s="39" t="s">
        <v>87</v>
      </c>
    </row>
    <row r="6" spans="1:17" ht="13.5" customHeight="1">
      <c r="A6" s="13" t="s">
        <v>85</v>
      </c>
      <c r="B6" s="4">
        <v>770</v>
      </c>
      <c r="C6" s="4">
        <v>417</v>
      </c>
      <c r="D6" s="4">
        <v>470</v>
      </c>
      <c r="E6" s="4">
        <v>500</v>
      </c>
      <c r="F6" s="4">
        <v>504</v>
      </c>
      <c r="G6" s="4">
        <v>274</v>
      </c>
      <c r="H6" s="40" t="s">
        <v>95</v>
      </c>
      <c r="J6" s="1" t="str">
        <f>A6</f>
        <v>Taxes at statutory tax rate</v>
      </c>
      <c r="K6" s="30">
        <f t="shared" ref="K6:O18" si="0">B6/B$20</f>
        <v>0.40083289953149404</v>
      </c>
      <c r="L6" s="30">
        <f t="shared" si="0"/>
        <v>0.40019193857965452</v>
      </c>
      <c r="M6" s="30">
        <f t="shared" si="0"/>
        <v>0.39965986394557823</v>
      </c>
      <c r="N6" s="30">
        <f t="shared" si="0"/>
        <v>0.4</v>
      </c>
      <c r="O6" s="30">
        <f t="shared" si="0"/>
        <v>0.30977258758451137</v>
      </c>
      <c r="P6" s="30">
        <f>G6/G$20</f>
        <v>0.30960451977401132</v>
      </c>
      <c r="Q6" s="41" t="s">
        <v>95</v>
      </c>
    </row>
    <row r="7" spans="1:17" ht="13.5" customHeight="1">
      <c r="A7" s="13" t="s">
        <v>109</v>
      </c>
      <c r="B7" s="4">
        <v>-83</v>
      </c>
      <c r="C7" s="4">
        <v>-68</v>
      </c>
      <c r="D7" s="4">
        <v>-139</v>
      </c>
      <c r="E7" s="4">
        <v>-153</v>
      </c>
      <c r="F7" s="4">
        <v>-26</v>
      </c>
      <c r="G7" s="4">
        <v>-70</v>
      </c>
      <c r="H7" s="40" t="s">
        <v>95</v>
      </c>
      <c r="J7" s="1" t="str">
        <f t="shared" ref="J7:J17" si="1">A7</f>
        <v>Difference between local and domestic taxes</v>
      </c>
      <c r="K7" s="30">
        <f t="shared" si="0"/>
        <v>-4.3206663196251952E-2</v>
      </c>
      <c r="L7" s="30">
        <f t="shared" si="0"/>
        <v>-6.5259117082533583E-2</v>
      </c>
      <c r="M7" s="30">
        <f t="shared" si="0"/>
        <v>-0.11819727891156463</v>
      </c>
      <c r="N7" s="30">
        <f t="shared" si="0"/>
        <v>-0.12239999999999999</v>
      </c>
      <c r="O7" s="30">
        <f t="shared" si="0"/>
        <v>-1.5980331899200985E-2</v>
      </c>
      <c r="P7" s="30">
        <f t="shared" ref="P7:P17" si="2">G7/G$20</f>
        <v>-7.909604519774012E-2</v>
      </c>
      <c r="Q7" s="42"/>
    </row>
    <row r="8" spans="1:17" ht="13.5" customHeight="1">
      <c r="A8" s="13" t="s">
        <v>104</v>
      </c>
      <c r="B8" s="4">
        <v>0</v>
      </c>
      <c r="C8" s="4">
        <v>-2</v>
      </c>
      <c r="D8" s="4">
        <v>-30</v>
      </c>
      <c r="E8" s="4">
        <v>-46</v>
      </c>
      <c r="F8" s="4">
        <v>-61</v>
      </c>
      <c r="G8" s="4">
        <v>7</v>
      </c>
      <c r="H8" s="40"/>
      <c r="J8" s="1" t="str">
        <f t="shared" si="1"/>
        <v>Tax increases/reductions for prior years</v>
      </c>
      <c r="K8" s="30">
        <f t="shared" si="0"/>
        <v>0</v>
      </c>
      <c r="L8" s="30">
        <f t="shared" si="0"/>
        <v>-1.9193857965451055E-3</v>
      </c>
      <c r="M8" s="30">
        <f t="shared" si="0"/>
        <v>-2.5510204081632654E-2</v>
      </c>
      <c r="N8" s="30">
        <f t="shared" si="0"/>
        <v>-3.6799999999999999E-2</v>
      </c>
      <c r="O8" s="30">
        <f t="shared" si="0"/>
        <v>-3.7492317148125384E-2</v>
      </c>
      <c r="P8" s="30">
        <f t="shared" si="2"/>
        <v>7.9096045197740109E-3</v>
      </c>
      <c r="Q8" s="42"/>
    </row>
    <row r="9" spans="1:17" ht="13.5" customHeight="1">
      <c r="A9" s="13" t="s">
        <v>98</v>
      </c>
      <c r="B9" s="4">
        <v>0</v>
      </c>
      <c r="C9" s="4">
        <v>0</v>
      </c>
      <c r="D9" s="4">
        <v>0</v>
      </c>
      <c r="E9" s="4">
        <v>-13</v>
      </c>
      <c r="F9" s="4">
        <v>5</v>
      </c>
      <c r="G9" s="4">
        <v>3</v>
      </c>
      <c r="H9" s="40"/>
      <c r="J9" s="1" t="str">
        <f t="shared" si="1"/>
        <v>Taxes due to tax rate changes</v>
      </c>
      <c r="K9" s="30">
        <f t="shared" si="0"/>
        <v>0</v>
      </c>
      <c r="L9" s="30">
        <f t="shared" si="0"/>
        <v>0</v>
      </c>
      <c r="M9" s="30">
        <f t="shared" si="0"/>
        <v>0</v>
      </c>
      <c r="N9" s="30">
        <f t="shared" si="0"/>
        <v>-1.04E-2</v>
      </c>
      <c r="O9" s="30">
        <f t="shared" si="0"/>
        <v>3.0731407498463428E-3</v>
      </c>
      <c r="P9" s="30">
        <f t="shared" si="2"/>
        <v>3.3898305084745762E-3</v>
      </c>
      <c r="Q9" s="42"/>
    </row>
    <row r="10" spans="1:17" ht="13.5" customHeight="1">
      <c r="A10" s="13" t="s">
        <v>110</v>
      </c>
      <c r="B10" s="4"/>
      <c r="C10" s="4">
        <v>13</v>
      </c>
      <c r="D10" s="4">
        <v>22</v>
      </c>
      <c r="E10" s="4">
        <v>32</v>
      </c>
      <c r="F10" s="4">
        <v>10</v>
      </c>
      <c r="G10" s="4">
        <v>-9</v>
      </c>
      <c r="H10" s="40"/>
      <c r="J10" s="1" t="str">
        <f t="shared" si="1"/>
        <v>Non-deductible losses</v>
      </c>
      <c r="K10" s="30">
        <f t="shared" si="0"/>
        <v>0</v>
      </c>
      <c r="L10" s="30">
        <f t="shared" si="0"/>
        <v>1.2476007677543186E-2</v>
      </c>
      <c r="M10" s="30">
        <f t="shared" si="0"/>
        <v>1.8707482993197279E-2</v>
      </c>
      <c r="N10" s="30">
        <f t="shared" si="0"/>
        <v>2.5600000000000001E-2</v>
      </c>
      <c r="O10" s="30">
        <f t="shared" si="0"/>
        <v>6.1462814996926856E-3</v>
      </c>
      <c r="P10" s="30">
        <f t="shared" si="2"/>
        <v>-1.0169491525423728E-2</v>
      </c>
      <c r="Q10" s="42"/>
    </row>
    <row r="11" spans="1:17" ht="13.5" customHeight="1">
      <c r="A11" s="13" t="s">
        <v>44</v>
      </c>
      <c r="B11" s="4">
        <v>-59</v>
      </c>
      <c r="C11" s="4">
        <v>-27</v>
      </c>
      <c r="D11" s="4">
        <v>-30</v>
      </c>
      <c r="E11" s="4">
        <v>-34</v>
      </c>
      <c r="F11" s="4">
        <v>-25</v>
      </c>
      <c r="G11" s="4">
        <v>0</v>
      </c>
      <c r="H11" s="40"/>
      <c r="J11" s="1" t="str">
        <f t="shared" si="1"/>
        <v>Tax rates on investments</v>
      </c>
      <c r="K11" s="30">
        <f t="shared" si="0"/>
        <v>-3.0713170223841749E-2</v>
      </c>
      <c r="L11" s="30">
        <f t="shared" si="0"/>
        <v>-2.5911708253358926E-2</v>
      </c>
      <c r="M11" s="30">
        <f t="shared" si="0"/>
        <v>-2.5510204081632654E-2</v>
      </c>
      <c r="N11" s="30">
        <f t="shared" si="0"/>
        <v>-2.7199999999999998E-2</v>
      </c>
      <c r="O11" s="30">
        <f t="shared" si="0"/>
        <v>-1.5365703749231715E-2</v>
      </c>
      <c r="P11" s="30">
        <f t="shared" si="2"/>
        <v>0</v>
      </c>
      <c r="Q11" s="42"/>
    </row>
    <row r="12" spans="1:17" ht="13.5" customHeight="1">
      <c r="A12" s="13" t="s">
        <v>54</v>
      </c>
      <c r="B12" s="4">
        <v>-809</v>
      </c>
      <c r="C12" s="4">
        <v>-107</v>
      </c>
      <c r="D12" s="4">
        <v>-47</v>
      </c>
      <c r="E12" s="4">
        <v>-25</v>
      </c>
      <c r="F12" s="4">
        <v>-22</v>
      </c>
      <c r="G12" s="4">
        <v>-22</v>
      </c>
      <c r="H12" s="40" t="s">
        <v>95</v>
      </c>
      <c r="J12" s="1" t="str">
        <f t="shared" si="1"/>
        <v>Tax free income</v>
      </c>
      <c r="K12" s="30">
        <f t="shared" si="0"/>
        <v>-0.4211348256116606</v>
      </c>
      <c r="L12" s="30">
        <f t="shared" si="0"/>
        <v>-0.10268714011516315</v>
      </c>
      <c r="M12" s="30">
        <f t="shared" si="0"/>
        <v>-3.9965986394557826E-2</v>
      </c>
      <c r="N12" s="30">
        <f t="shared" si="0"/>
        <v>-0.02</v>
      </c>
      <c r="O12" s="30">
        <f t="shared" si="0"/>
        <v>-1.3521819299323909E-2</v>
      </c>
      <c r="P12" s="30">
        <f t="shared" si="2"/>
        <v>-2.4858757062146894E-2</v>
      </c>
      <c r="Q12" s="42"/>
    </row>
    <row r="13" spans="1:17" ht="13.5" customHeight="1">
      <c r="A13" s="13" t="s">
        <v>105</v>
      </c>
      <c r="B13" s="4"/>
      <c r="C13" s="4"/>
      <c r="D13" s="4">
        <v>0</v>
      </c>
      <c r="E13" s="4">
        <v>0</v>
      </c>
      <c r="F13" s="4">
        <v>0</v>
      </c>
      <c r="G13" s="4">
        <v>14</v>
      </c>
      <c r="H13" s="40"/>
      <c r="J13" s="1" t="str">
        <f t="shared" si="1"/>
        <v>Write-down of intangible assets</v>
      </c>
      <c r="K13" s="30">
        <f t="shared" si="0"/>
        <v>0</v>
      </c>
      <c r="L13" s="30">
        <f t="shared" si="0"/>
        <v>0</v>
      </c>
      <c r="M13" s="30">
        <f t="shared" si="0"/>
        <v>0</v>
      </c>
      <c r="N13" s="30">
        <f t="shared" si="0"/>
        <v>0</v>
      </c>
      <c r="O13" s="30">
        <f t="shared" si="0"/>
        <v>0</v>
      </c>
      <c r="P13" s="30">
        <f t="shared" si="2"/>
        <v>1.5819209039548022E-2</v>
      </c>
      <c r="Q13" s="42"/>
    </row>
    <row r="14" spans="1:17" ht="13.5" customHeight="1">
      <c r="A14" s="13" t="s">
        <v>106</v>
      </c>
      <c r="B14" s="4"/>
      <c r="C14" s="4">
        <v>27</v>
      </c>
      <c r="D14" s="4">
        <v>38</v>
      </c>
      <c r="E14" s="4">
        <v>12</v>
      </c>
      <c r="F14" s="4">
        <v>28</v>
      </c>
      <c r="G14" s="4">
        <v>13</v>
      </c>
      <c r="H14" s="40" t="s">
        <v>95</v>
      </c>
      <c r="J14" s="1" t="str">
        <f t="shared" si="1"/>
        <v>Trade tax additions</v>
      </c>
      <c r="K14" s="30">
        <f t="shared" si="0"/>
        <v>0</v>
      </c>
      <c r="L14" s="30">
        <f t="shared" si="0"/>
        <v>2.5911708253358926E-2</v>
      </c>
      <c r="M14" s="30">
        <f t="shared" si="0"/>
        <v>3.2312925170068028E-2</v>
      </c>
      <c r="N14" s="30">
        <f t="shared" si="0"/>
        <v>9.5999999999999992E-3</v>
      </c>
      <c r="O14" s="30">
        <f t="shared" si="0"/>
        <v>1.7209588199139522E-2</v>
      </c>
      <c r="P14" s="30">
        <f t="shared" si="2"/>
        <v>1.4689265536723164E-2</v>
      </c>
      <c r="Q14" s="42"/>
    </row>
    <row r="15" spans="1:17" ht="13.5" customHeight="1">
      <c r="A15" s="13" t="s">
        <v>107</v>
      </c>
      <c r="B15" s="4"/>
      <c r="C15" s="4">
        <v>8</v>
      </c>
      <c r="D15" s="4">
        <v>17</v>
      </c>
      <c r="E15" s="4">
        <v>4</v>
      </c>
      <c r="F15" s="4">
        <v>10</v>
      </c>
      <c r="G15" s="4">
        <v>14</v>
      </c>
      <c r="H15" s="40" t="s">
        <v>95</v>
      </c>
      <c r="J15" s="1" t="str">
        <f t="shared" si="1"/>
        <v>Non-deductible withholding tax</v>
      </c>
      <c r="K15" s="30">
        <f t="shared" si="0"/>
        <v>0</v>
      </c>
      <c r="L15" s="30">
        <f t="shared" si="0"/>
        <v>7.677543186180422E-3</v>
      </c>
      <c r="M15" s="30">
        <f t="shared" si="0"/>
        <v>1.4455782312925171E-2</v>
      </c>
      <c r="N15" s="30">
        <f t="shared" si="0"/>
        <v>3.2000000000000002E-3</v>
      </c>
      <c r="O15" s="30">
        <f t="shared" si="0"/>
        <v>6.1462814996926856E-3</v>
      </c>
      <c r="P15" s="30">
        <f t="shared" si="2"/>
        <v>1.5819209039548022E-2</v>
      </c>
      <c r="Q15" s="42"/>
    </row>
    <row r="16" spans="1:17" ht="13.5" customHeight="1">
      <c r="A16" s="13" t="s">
        <v>108</v>
      </c>
      <c r="B16" s="4">
        <f>128+239</f>
        <v>367</v>
      </c>
      <c r="C16" s="4">
        <v>11</v>
      </c>
      <c r="D16" s="4">
        <v>4</v>
      </c>
      <c r="E16" s="4">
        <v>32</v>
      </c>
      <c r="F16" s="4">
        <v>14</v>
      </c>
      <c r="G16" s="4">
        <v>33</v>
      </c>
      <c r="H16" s="40" t="s">
        <v>95</v>
      </c>
      <c r="J16" s="1" t="str">
        <f t="shared" si="1"/>
        <v>Other non-deductible expenses</v>
      </c>
      <c r="K16" s="30">
        <f t="shared" si="0"/>
        <v>0.19104633003643937</v>
      </c>
      <c r="L16" s="30">
        <f t="shared" si="0"/>
        <v>1.055662188099808E-2</v>
      </c>
      <c r="M16" s="30">
        <f t="shared" si="0"/>
        <v>3.4013605442176869E-3</v>
      </c>
      <c r="N16" s="30">
        <f t="shared" si="0"/>
        <v>2.5600000000000001E-2</v>
      </c>
      <c r="O16" s="30">
        <f t="shared" si="0"/>
        <v>8.6047940995697611E-3</v>
      </c>
      <c r="P16" s="30">
        <f t="shared" si="2"/>
        <v>3.7288135593220341E-2</v>
      </c>
      <c r="Q16" s="42"/>
    </row>
    <row r="17" spans="1:17" ht="13.5" customHeight="1">
      <c r="A17" s="13" t="s">
        <v>111</v>
      </c>
      <c r="B17" s="4">
        <v>0</v>
      </c>
      <c r="C17" s="4">
        <v>0</v>
      </c>
      <c r="D17" s="4">
        <v>0</v>
      </c>
      <c r="E17" s="4">
        <v>0</v>
      </c>
      <c r="F17" s="4">
        <v>-43</v>
      </c>
      <c r="G17" s="4">
        <v>0</v>
      </c>
      <c r="H17" s="40"/>
      <c r="J17" s="1" t="str">
        <f t="shared" si="1"/>
        <v>Write-down of Ecolab sale</v>
      </c>
      <c r="K17" s="30">
        <f t="shared" si="0"/>
        <v>0</v>
      </c>
      <c r="L17" s="30">
        <f t="shared" si="0"/>
        <v>0</v>
      </c>
      <c r="M17" s="30">
        <f t="shared" si="0"/>
        <v>0</v>
      </c>
      <c r="N17" s="30">
        <f t="shared" si="0"/>
        <v>0</v>
      </c>
      <c r="O17" s="30">
        <f t="shared" si="0"/>
        <v>-2.6429010448678548E-2</v>
      </c>
      <c r="P17" s="30">
        <f t="shared" si="2"/>
        <v>0</v>
      </c>
      <c r="Q17" s="42"/>
    </row>
    <row r="18" spans="1:17" ht="13.5" customHeight="1" thickBot="1">
      <c r="A18" s="43" t="s">
        <v>55</v>
      </c>
      <c r="B18" s="35">
        <f t="shared" ref="B18:G18" si="3">SUM(B6:B17)</f>
        <v>186</v>
      </c>
      <c r="C18" s="35">
        <f t="shared" si="3"/>
        <v>272</v>
      </c>
      <c r="D18" s="35">
        <f t="shared" si="3"/>
        <v>305</v>
      </c>
      <c r="E18" s="35">
        <f t="shared" si="3"/>
        <v>309</v>
      </c>
      <c r="F18" s="35">
        <f t="shared" si="3"/>
        <v>394</v>
      </c>
      <c r="G18" s="35">
        <f t="shared" si="3"/>
        <v>257</v>
      </c>
      <c r="H18" s="44"/>
      <c r="J18" s="15" t="s">
        <v>55</v>
      </c>
      <c r="K18" s="36">
        <f t="shared" si="0"/>
        <v>9.6824570536179072E-2</v>
      </c>
      <c r="L18" s="36">
        <f t="shared" si="0"/>
        <v>0.26103646833013433</v>
      </c>
      <c r="M18" s="36">
        <f t="shared" si="0"/>
        <v>0.25935374149659862</v>
      </c>
      <c r="N18" s="36">
        <f t="shared" si="0"/>
        <v>0.2472</v>
      </c>
      <c r="O18" s="36">
        <f t="shared" si="0"/>
        <v>0.24216349108789181</v>
      </c>
      <c r="P18" s="36">
        <f>G18/G$20</f>
        <v>0.29039548022598871</v>
      </c>
      <c r="Q18" s="42"/>
    </row>
    <row r="19" spans="1:17" ht="13.5" customHeight="1" thickTop="1">
      <c r="B19" s="8"/>
      <c r="C19" s="8"/>
      <c r="D19" s="8"/>
      <c r="E19" s="8"/>
      <c r="F19" s="8"/>
      <c r="G19" s="8"/>
      <c r="H19" s="45"/>
    </row>
    <row r="20" spans="1:17" ht="13.5" customHeight="1">
      <c r="A20" s="1" t="s">
        <v>56</v>
      </c>
      <c r="B20" s="8">
        <f>Financials!B19</f>
        <v>1921</v>
      </c>
      <c r="C20" s="8">
        <f>Financials!C19</f>
        <v>1042</v>
      </c>
      <c r="D20" s="8">
        <f>Financials!D19</f>
        <v>1176</v>
      </c>
      <c r="E20" s="8">
        <f>Financials!E19</f>
        <v>1250</v>
      </c>
      <c r="F20" s="8">
        <f>Financials!F19</f>
        <v>1627</v>
      </c>
      <c r="G20" s="8">
        <f>Financials!G19</f>
        <v>885</v>
      </c>
      <c r="H20" s="46"/>
      <c r="O20" s="47"/>
    </row>
    <row r="22" spans="1:17" ht="13.5" customHeight="1">
      <c r="C22" s="4"/>
      <c r="D22" s="4"/>
      <c r="E22" s="4"/>
      <c r="F22" s="4"/>
    </row>
    <row r="23" spans="1:17" ht="13.5" customHeight="1">
      <c r="A23" s="2" t="str">
        <f>company_name</f>
        <v>Henkel AG</v>
      </c>
      <c r="J23" s="2" t="str">
        <f>company_name</f>
        <v>Henkel AG</v>
      </c>
    </row>
    <row r="24" spans="1:17" ht="13.5" customHeight="1">
      <c r="A24" s="1" t="s">
        <v>89</v>
      </c>
      <c r="J24" s="1" t="s">
        <v>92</v>
      </c>
    </row>
    <row r="26" spans="1:17" ht="13.5" customHeight="1">
      <c r="A26" s="3" t="s">
        <v>35</v>
      </c>
      <c r="B26" s="3">
        <v>2004</v>
      </c>
      <c r="C26" s="3">
        <v>2005</v>
      </c>
      <c r="D26" s="3">
        <f>C26+1</f>
        <v>2006</v>
      </c>
      <c r="E26" s="3">
        <f>D26+1</f>
        <v>2007</v>
      </c>
      <c r="F26" s="3">
        <f>E26+1</f>
        <v>2008</v>
      </c>
      <c r="G26" s="3">
        <f>F26+1</f>
        <v>2009</v>
      </c>
      <c r="J26" s="3" t="s">
        <v>45</v>
      </c>
      <c r="K26" s="3">
        <v>2004</v>
      </c>
      <c r="L26" s="3">
        <v>2005</v>
      </c>
      <c r="M26" s="3">
        <f>L26+1</f>
        <v>2006</v>
      </c>
      <c r="N26" s="3">
        <f>M26+1</f>
        <v>2007</v>
      </c>
      <c r="O26" s="3">
        <f>N26+1</f>
        <v>2008</v>
      </c>
      <c r="P26" s="3">
        <f>O26+1</f>
        <v>2009</v>
      </c>
    </row>
    <row r="27" spans="1:17" ht="13.5" customHeight="1">
      <c r="A27" s="1" t="s">
        <v>88</v>
      </c>
      <c r="B27" s="8">
        <f t="shared" ref="B27:G27" si="4">SUMIF($Q$6:$Q$17, "=yes", B6:B17)</f>
        <v>770</v>
      </c>
      <c r="C27" s="8">
        <f t="shared" si="4"/>
        <v>417</v>
      </c>
      <c r="D27" s="8">
        <f t="shared" si="4"/>
        <v>470</v>
      </c>
      <c r="E27" s="8">
        <f t="shared" si="4"/>
        <v>500</v>
      </c>
      <c r="F27" s="8">
        <f t="shared" si="4"/>
        <v>504</v>
      </c>
      <c r="G27" s="8">
        <f t="shared" si="4"/>
        <v>274</v>
      </c>
      <c r="J27" s="1" t="s">
        <v>46</v>
      </c>
      <c r="K27" s="30">
        <f t="shared" ref="K27:P27" si="5">SUMIF($Q$6:$Q$17, "=yes", K6:K17)</f>
        <v>0.40083289953149404</v>
      </c>
      <c r="L27" s="30">
        <f t="shared" si="5"/>
        <v>0.40019193857965452</v>
      </c>
      <c r="M27" s="30">
        <f t="shared" si="5"/>
        <v>0.39965986394557823</v>
      </c>
      <c r="N27" s="30">
        <f t="shared" si="5"/>
        <v>0.4</v>
      </c>
      <c r="O27" s="30">
        <f t="shared" si="5"/>
        <v>0.30977258758451137</v>
      </c>
      <c r="P27" s="30">
        <f t="shared" si="5"/>
        <v>0.30960451977401132</v>
      </c>
    </row>
    <row r="28" spans="1:17" ht="13.5" customHeight="1">
      <c r="A28" s="1" t="s">
        <v>86</v>
      </c>
      <c r="B28" s="8">
        <f t="shared" ref="B28:G28" si="6">SUMIF($H$6:$H$17, "=yes", B6:B17) - SUMIF($Q$6:$Q$17, "=yes", B6:B17)</f>
        <v>-525</v>
      </c>
      <c r="C28" s="8">
        <f t="shared" si="6"/>
        <v>-129</v>
      </c>
      <c r="D28" s="8">
        <f t="shared" si="6"/>
        <v>-127</v>
      </c>
      <c r="E28" s="8">
        <f t="shared" si="6"/>
        <v>-130</v>
      </c>
      <c r="F28" s="8">
        <f t="shared" si="6"/>
        <v>4</v>
      </c>
      <c r="G28" s="8">
        <f t="shared" si="6"/>
        <v>-32</v>
      </c>
      <c r="J28" s="1" t="s">
        <v>93</v>
      </c>
      <c r="K28" s="47">
        <f>K18</f>
        <v>9.6824570536179072E-2</v>
      </c>
      <c r="L28" s="47">
        <f t="shared" ref="L28:P28" si="7">L18</f>
        <v>0.26103646833013433</v>
      </c>
      <c r="M28" s="47">
        <f t="shared" si="7"/>
        <v>0.25935374149659862</v>
      </c>
      <c r="N28" s="47">
        <f t="shared" si="7"/>
        <v>0.2472</v>
      </c>
      <c r="O28" s="47">
        <f t="shared" si="7"/>
        <v>0.24216349108789181</v>
      </c>
      <c r="P28" s="47">
        <f t="shared" si="7"/>
        <v>0.29039548022598871</v>
      </c>
    </row>
    <row r="29" spans="1:17" ht="13.5" customHeight="1">
      <c r="A29" s="1" t="s">
        <v>90</v>
      </c>
      <c r="B29" s="8">
        <f>B30-SUM(B27:B28)</f>
        <v>-59</v>
      </c>
      <c r="C29" s="8">
        <f t="shared" ref="C29:G29" si="8">C30-SUM(C27:C28)</f>
        <v>-16</v>
      </c>
      <c r="D29" s="8">
        <f t="shared" si="8"/>
        <v>-38</v>
      </c>
      <c r="E29" s="8">
        <f t="shared" si="8"/>
        <v>-61</v>
      </c>
      <c r="F29" s="8">
        <f t="shared" si="8"/>
        <v>-114</v>
      </c>
      <c r="G29" s="8">
        <f t="shared" si="8"/>
        <v>15</v>
      </c>
      <c r="K29" s="30"/>
      <c r="L29" s="30"/>
      <c r="M29" s="30"/>
      <c r="N29" s="30"/>
      <c r="O29" s="30"/>
      <c r="P29" s="30"/>
    </row>
    <row r="30" spans="1:17" ht="13.5" customHeight="1" thickBot="1">
      <c r="A30" s="15" t="s">
        <v>91</v>
      </c>
      <c r="B30" s="16">
        <f t="shared" ref="B30:G30" si="9">B18</f>
        <v>186</v>
      </c>
      <c r="C30" s="16">
        <f t="shared" si="9"/>
        <v>272</v>
      </c>
      <c r="D30" s="16">
        <f t="shared" si="9"/>
        <v>305</v>
      </c>
      <c r="E30" s="16">
        <f t="shared" si="9"/>
        <v>309</v>
      </c>
      <c r="F30" s="16">
        <f t="shared" si="9"/>
        <v>394</v>
      </c>
      <c r="G30" s="16">
        <f t="shared" si="9"/>
        <v>257</v>
      </c>
    </row>
    <row r="31" spans="1:17" ht="13.5" customHeight="1" thickTop="1"/>
    <row r="32" spans="1:17" ht="13.5" customHeight="1">
      <c r="B32" s="8"/>
      <c r="C32" s="64"/>
      <c r="D32" s="8"/>
      <c r="E32" s="64"/>
      <c r="F32" s="8"/>
      <c r="G32" s="8"/>
    </row>
    <row r="34" spans="1:1" ht="13.5" customHeight="1">
      <c r="A34" s="2" t="s">
        <v>112</v>
      </c>
    </row>
    <row r="35" spans="1:1" ht="13.5" customHeight="1">
      <c r="A35" s="1" t="s">
        <v>113</v>
      </c>
    </row>
    <row r="36" spans="1:1" ht="13.5" customHeight="1">
      <c r="A36" s="1" t="s">
        <v>114</v>
      </c>
    </row>
    <row r="37" spans="1:1" ht="13.5" customHeight="1">
      <c r="A37" s="1" t="s">
        <v>115</v>
      </c>
    </row>
    <row r="38" spans="1:1" ht="13.5" customHeight="1">
      <c r="A38" s="1" t="s">
        <v>117</v>
      </c>
    </row>
    <row r="39" spans="1:1" ht="13.5" customHeight="1">
      <c r="A39" s="1" t="s">
        <v>116</v>
      </c>
    </row>
  </sheetData>
  <phoneticPr fontId="2" type="noConversion"/>
  <pageMargins left="0.45" right="0.45" top="0.75" bottom="0.75" header="0.3" footer="0.3"/>
  <pageSetup scale="65" orientation="landscape" r:id="rId1"/>
  <headerFooter>
    <oddHeader>&amp;C&amp;"Calibri,Bold"&amp;12Henkel AG
Operating Taxes</oddHeader>
  </headerFooter>
  <ignoredErrors>
    <ignoredError sqref="B29:G29" formulaRange="1"/>
  </ignoredError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2:T57"/>
  <sheetViews>
    <sheetView zoomScale="85" zoomScaleNormal="85" workbookViewId="0">
      <selection activeCell="A2" sqref="A2"/>
    </sheetView>
  </sheetViews>
  <sheetFormatPr defaultRowHeight="15" outlineLevelCol="1"/>
  <cols>
    <col min="1" max="1" width="4.5703125" style="1" customWidth="1"/>
    <col min="2" max="2" width="42" style="1" customWidth="1"/>
    <col min="3" max="3" width="9.140625" style="1" customWidth="1" outlineLevel="1"/>
    <col min="4" max="4" width="10.85546875" style="1" bestFit="1" customWidth="1"/>
    <col min="5" max="8" width="9.140625" style="1"/>
    <col min="9" max="10" width="9.28515625" style="1" bestFit="1" customWidth="1"/>
    <col min="11" max="12" width="10.140625" style="1" bestFit="1" customWidth="1"/>
    <col min="13" max="14" width="9.28515625" style="1" bestFit="1" customWidth="1"/>
    <col min="21" max="16384" width="9.140625" style="1"/>
  </cols>
  <sheetData>
    <row r="2" spans="1:20">
      <c r="B2" s="2" t="str">
        <f>company_name</f>
        <v>Henkel AG</v>
      </c>
      <c r="D2" s="2"/>
      <c r="O2" s="1"/>
      <c r="P2" s="1"/>
      <c r="Q2" s="1"/>
      <c r="R2" s="1"/>
      <c r="S2" s="1"/>
      <c r="T2" s="1"/>
    </row>
    <row r="3" spans="1:20">
      <c r="B3" s="1" t="s">
        <v>201</v>
      </c>
      <c r="I3" s="73" t="s">
        <v>204</v>
      </c>
      <c r="J3" s="73"/>
      <c r="K3" s="73"/>
      <c r="L3" s="73"/>
      <c r="M3" s="73"/>
      <c r="N3" s="73"/>
      <c r="O3" s="1"/>
      <c r="P3" s="1"/>
      <c r="Q3" s="1"/>
      <c r="R3" s="1"/>
      <c r="S3" s="1"/>
      <c r="T3" s="1"/>
    </row>
    <row r="4" spans="1:20">
      <c r="O4" s="1"/>
      <c r="P4" s="1"/>
      <c r="Q4" s="1"/>
      <c r="R4" s="1"/>
      <c r="S4" s="1"/>
      <c r="T4" s="1"/>
    </row>
    <row r="5" spans="1:20">
      <c r="B5" s="3" t="str">
        <f>Financials!A5</f>
        <v>EUR millions</v>
      </c>
      <c r="C5" s="3">
        <f>Reorganized!B5</f>
        <v>2004</v>
      </c>
      <c r="D5" s="3">
        <f>Reorganized!C5</f>
        <v>2005</v>
      </c>
      <c r="E5" s="3">
        <f>Reorganized!D5</f>
        <v>2006</v>
      </c>
      <c r="F5" s="3">
        <f>Reorganized!E5</f>
        <v>2007</v>
      </c>
      <c r="G5" s="3">
        <f>Reorganized!F5</f>
        <v>2008</v>
      </c>
      <c r="H5" s="3">
        <f>Reorganized!G5</f>
        <v>2009</v>
      </c>
      <c r="I5" s="3">
        <f>H5+1</f>
        <v>2010</v>
      </c>
      <c r="J5" s="3">
        <f t="shared" ref="J5:N5" si="0">I5+1</f>
        <v>2011</v>
      </c>
      <c r="K5" s="3">
        <f t="shared" si="0"/>
        <v>2012</v>
      </c>
      <c r="L5" s="3">
        <f t="shared" si="0"/>
        <v>2013</v>
      </c>
      <c r="M5" s="3">
        <f t="shared" si="0"/>
        <v>2014</v>
      </c>
      <c r="N5" s="3">
        <f t="shared" si="0"/>
        <v>2015</v>
      </c>
      <c r="O5" s="1"/>
      <c r="P5" s="1"/>
      <c r="Q5" s="1"/>
      <c r="R5" s="1"/>
      <c r="S5" s="1"/>
      <c r="T5" s="1"/>
    </row>
    <row r="6" spans="1:20">
      <c r="A6" s="74" t="s">
        <v>203</v>
      </c>
      <c r="B6" s="1" t="s">
        <v>49</v>
      </c>
      <c r="C6" s="48" t="s">
        <v>7</v>
      </c>
      <c r="D6" s="30">
        <f>Reorganized!C6/Reorganized!B6-1</f>
        <v>0.1304758308157099</v>
      </c>
      <c r="E6" s="30">
        <f>Reorganized!D6/Reorganized!C6-1</f>
        <v>6.3971939201603378E-2</v>
      </c>
      <c r="F6" s="30">
        <f>Reorganized!E6/Reorganized!D6-1</f>
        <v>2.6216640502354727E-2</v>
      </c>
      <c r="G6" s="30">
        <f>Reorganized!F6/Reorganized!E6-1</f>
        <v>8.0847483555147592E-2</v>
      </c>
      <c r="H6" s="30">
        <f>Reorganized!G6/Reorganized!F6-1</f>
        <v>-3.9487651263180212E-2</v>
      </c>
      <c r="I6" s="19">
        <v>0.06</v>
      </c>
      <c r="J6" s="19">
        <v>3.5000000000000003E-2</v>
      </c>
      <c r="K6" s="19">
        <v>3.5000000000000003E-2</v>
      </c>
      <c r="L6" s="19">
        <v>0.04</v>
      </c>
      <c r="M6" s="19">
        <v>0.04</v>
      </c>
      <c r="N6" s="19">
        <v>0.03</v>
      </c>
      <c r="O6" s="1"/>
      <c r="P6" s="1"/>
      <c r="Q6" s="1"/>
      <c r="R6" s="1"/>
      <c r="S6" s="1"/>
      <c r="T6" s="1"/>
    </row>
    <row r="7" spans="1:20" ht="17.25">
      <c r="A7" s="74"/>
      <c r="B7" s="6" t="s">
        <v>129</v>
      </c>
      <c r="C7" s="49">
        <f>-Reorganized!B7/Reorganized!B$6</f>
        <v>0.5301170694864048</v>
      </c>
      <c r="D7" s="49">
        <f>-Reorganized!C7/Reorganized!C$6</f>
        <v>0.54559879739435446</v>
      </c>
      <c r="E7" s="49">
        <f>-Reorganized!D7/Reorganized!D$6</f>
        <v>0.5465463108320251</v>
      </c>
      <c r="F7" s="49">
        <f>-Reorganized!E7/Reorganized!E$6</f>
        <v>0.53640813828973533</v>
      </c>
      <c r="G7" s="49">
        <f>-Reorganized!F7/Reorganized!F$6</f>
        <v>0.55318094968508957</v>
      </c>
      <c r="H7" s="49">
        <f>-Reorganized!G7/Reorganized!G$6</f>
        <v>0.54085316437044129</v>
      </c>
      <c r="I7" s="54">
        <f t="shared" ref="I7:N17" si="1">H7</f>
        <v>0.54085316437044129</v>
      </c>
      <c r="J7" s="54">
        <f t="shared" si="1"/>
        <v>0.54085316437044129</v>
      </c>
      <c r="K7" s="54">
        <f t="shared" si="1"/>
        <v>0.54085316437044129</v>
      </c>
      <c r="L7" s="54">
        <f t="shared" si="1"/>
        <v>0.54085316437044129</v>
      </c>
      <c r="M7" s="54">
        <f t="shared" si="1"/>
        <v>0.54085316437044129</v>
      </c>
      <c r="N7" s="54">
        <f t="shared" si="1"/>
        <v>0.54085316437044129</v>
      </c>
      <c r="O7" s="1"/>
      <c r="P7" s="1"/>
      <c r="Q7" s="1"/>
      <c r="R7" s="1"/>
      <c r="S7" s="1"/>
      <c r="T7" s="1"/>
    </row>
    <row r="8" spans="1:20">
      <c r="A8" s="74"/>
      <c r="B8" s="1" t="s">
        <v>9</v>
      </c>
      <c r="C8" s="30">
        <f>Reorganized!B8/Reorganized!B$6</f>
        <v>0.46988293051359514</v>
      </c>
      <c r="D8" s="30">
        <f>Reorganized!C8/Reorganized!C$6</f>
        <v>0.45440120260564554</v>
      </c>
      <c r="E8" s="30">
        <f>Reorganized!D8/Reorganized!D$6</f>
        <v>0.4534536891679749</v>
      </c>
      <c r="F8" s="30">
        <f>Reorganized!E8/Reorganized!E$6</f>
        <v>0.46359186171026467</v>
      </c>
      <c r="G8" s="30">
        <f>Reorganized!F8/Reorganized!F$6</f>
        <v>0.44681905031491048</v>
      </c>
      <c r="H8" s="30">
        <f>Reorganized!G8/Reorganized!G$6</f>
        <v>0.45914683562955866</v>
      </c>
      <c r="I8" s="30">
        <f>Reorganized!H8/Reorganized!H$6</f>
        <v>0.45914683562955871</v>
      </c>
      <c r="J8" s="30">
        <f>Reorganized!I8/Reorganized!I$6</f>
        <v>0.45914683562955877</v>
      </c>
      <c r="K8" s="30">
        <f>Reorganized!J8/Reorganized!J$6</f>
        <v>0.45914683562955871</v>
      </c>
      <c r="L8" s="30">
        <f>Reorganized!K8/Reorganized!K$6</f>
        <v>0.45914683562955871</v>
      </c>
      <c r="M8" s="30">
        <f>Reorganized!L8/Reorganized!L$6</f>
        <v>0.45914683562955871</v>
      </c>
      <c r="N8" s="30">
        <f>Reorganized!M8/Reorganized!M$6</f>
        <v>0.45914683562955866</v>
      </c>
      <c r="O8" s="1"/>
      <c r="P8" s="1"/>
      <c r="Q8" s="1"/>
      <c r="R8" s="1"/>
      <c r="S8" s="1"/>
      <c r="T8" s="1"/>
    </row>
    <row r="9" spans="1:20">
      <c r="A9" s="74"/>
      <c r="C9" s="30"/>
      <c r="D9" s="30"/>
      <c r="E9" s="30"/>
      <c r="F9" s="30"/>
      <c r="G9" s="30"/>
      <c r="H9" s="30"/>
      <c r="I9" s="47"/>
      <c r="J9" s="47"/>
      <c r="K9" s="47"/>
      <c r="L9" s="47"/>
      <c r="M9" s="47"/>
      <c r="N9" s="47"/>
      <c r="O9" s="1"/>
      <c r="P9" s="1"/>
      <c r="Q9" s="1"/>
      <c r="R9" s="1"/>
      <c r="S9" s="1"/>
      <c r="T9" s="1"/>
    </row>
    <row r="10" spans="1:20" ht="17.25">
      <c r="A10" s="74"/>
      <c r="B10" s="1" t="s">
        <v>127</v>
      </c>
      <c r="C10" s="30">
        <f>-Reorganized!B10/Reorganized!B$6</f>
        <v>0.29796072507552868</v>
      </c>
      <c r="D10" s="30">
        <f>-Reorganized!C10/Reorganized!C$6</f>
        <v>0.28470018373141809</v>
      </c>
      <c r="E10" s="30">
        <f>-Reorganized!D10/Reorganized!D$6</f>
        <v>0.28649921507064363</v>
      </c>
      <c r="F10" s="30">
        <f>-Reorganized!E10/Reorganized!E$6</f>
        <v>0.28667584518892458</v>
      </c>
      <c r="G10" s="30">
        <f>-Reorganized!F10/Reorganized!F$6</f>
        <v>0.27471516523954426</v>
      </c>
      <c r="H10" s="30">
        <f>-Reorganized!G10/Reorganized!G$6</f>
        <v>0.28541958299565312</v>
      </c>
      <c r="I10" s="19">
        <f t="shared" si="1"/>
        <v>0.28541958299565312</v>
      </c>
      <c r="J10" s="19">
        <f t="shared" si="1"/>
        <v>0.28541958299565312</v>
      </c>
      <c r="K10" s="19">
        <f t="shared" si="1"/>
        <v>0.28541958299565312</v>
      </c>
      <c r="L10" s="19">
        <f t="shared" si="1"/>
        <v>0.28541958299565312</v>
      </c>
      <c r="M10" s="19">
        <f t="shared" si="1"/>
        <v>0.28541958299565312</v>
      </c>
      <c r="N10" s="19">
        <f t="shared" si="1"/>
        <v>0.28541958299565312</v>
      </c>
      <c r="O10" s="1"/>
      <c r="P10" s="1"/>
      <c r="Q10" s="1"/>
      <c r="R10" s="1"/>
      <c r="S10" s="1"/>
      <c r="T10" s="1"/>
    </row>
    <row r="11" spans="1:20" ht="17.25">
      <c r="A11" s="74"/>
      <c r="B11" s="1" t="s">
        <v>128</v>
      </c>
      <c r="C11" s="30">
        <f>-Reorganized!B11/Reorganized!B$6</f>
        <v>2.5679758308157101E-2</v>
      </c>
      <c r="D11" s="30">
        <f>-Reorganized!C11/Reorganized!C$6</f>
        <v>2.7058627025221313E-2</v>
      </c>
      <c r="E11" s="30">
        <f>-Reorganized!D11/Reorganized!D$6</f>
        <v>2.6687598116169546E-2</v>
      </c>
      <c r="F11" s="30">
        <f>-Reorganized!E11/Reorganized!E$6</f>
        <v>2.6770689918923053E-2</v>
      </c>
      <c r="G11" s="30">
        <f>-Reorganized!F11/Reorganized!F$6</f>
        <v>2.6678932842686291E-2</v>
      </c>
      <c r="H11" s="30">
        <f>-Reorganized!G11/Reorganized!G$6</f>
        <v>2.8217785309069477E-2</v>
      </c>
      <c r="I11" s="19">
        <f t="shared" si="1"/>
        <v>2.8217785309069477E-2</v>
      </c>
      <c r="J11" s="19">
        <f t="shared" si="1"/>
        <v>2.8217785309069477E-2</v>
      </c>
      <c r="K11" s="19">
        <f t="shared" si="1"/>
        <v>2.8217785309069477E-2</v>
      </c>
      <c r="L11" s="19">
        <f t="shared" si="1"/>
        <v>2.8217785309069477E-2</v>
      </c>
      <c r="M11" s="19">
        <f t="shared" si="1"/>
        <v>2.8217785309069477E-2</v>
      </c>
      <c r="N11" s="19">
        <f t="shared" si="1"/>
        <v>2.8217785309069477E-2</v>
      </c>
      <c r="O11" s="1"/>
      <c r="P11" s="1"/>
      <c r="Q11" s="1"/>
      <c r="R11" s="1"/>
      <c r="S11" s="1"/>
      <c r="T11" s="1"/>
    </row>
    <row r="12" spans="1:20" ht="17.25">
      <c r="A12" s="74"/>
      <c r="B12" s="10" t="s">
        <v>130</v>
      </c>
      <c r="C12" s="30">
        <f>-Reorganized!B12/Reorganized!B$6</f>
        <v>5.3814199395770396E-2</v>
      </c>
      <c r="D12" s="30">
        <f>-Reorganized!C12/Reorganized!C$6</f>
        <v>5.2363454150659766E-2</v>
      </c>
      <c r="E12" s="30">
        <f>-Reorganized!D12/Reorganized!D$6</f>
        <v>5.4709576138147566E-2</v>
      </c>
      <c r="F12" s="30">
        <f>-Reorganized!E12/Reorganized!E$6</f>
        <v>5.0787823160471167E-2</v>
      </c>
      <c r="G12" s="30">
        <f>-Reorganized!F12/Reorganized!F$6</f>
        <v>4.9394947279031917E-2</v>
      </c>
      <c r="H12" s="30">
        <f>-Reorganized!G12/Reorganized!G$6</f>
        <v>5.2383408236940987E-2</v>
      </c>
      <c r="I12" s="19">
        <f t="shared" si="1"/>
        <v>5.2383408236940987E-2</v>
      </c>
      <c r="J12" s="19">
        <f t="shared" si="1"/>
        <v>5.2383408236940987E-2</v>
      </c>
      <c r="K12" s="19">
        <f t="shared" si="1"/>
        <v>5.2383408236940987E-2</v>
      </c>
      <c r="L12" s="19">
        <f t="shared" si="1"/>
        <v>5.2383408236940987E-2</v>
      </c>
      <c r="M12" s="19">
        <f t="shared" si="1"/>
        <v>5.2383408236940987E-2</v>
      </c>
      <c r="N12" s="19">
        <f t="shared" si="1"/>
        <v>5.2383408236940987E-2</v>
      </c>
      <c r="O12" s="1"/>
      <c r="P12" s="1"/>
      <c r="Q12" s="1"/>
      <c r="R12" s="1"/>
      <c r="S12" s="1"/>
      <c r="T12" s="1"/>
    </row>
    <row r="13" spans="1:20">
      <c r="A13" s="74"/>
      <c r="B13" s="37" t="s">
        <v>99</v>
      </c>
      <c r="C13" s="52">
        <f>Reorganized!B13/Reorganized!B$6</f>
        <v>1.7938066465256798E-3</v>
      </c>
      <c r="D13" s="52">
        <f>Reorganized!C13/Reorganized!C$6</f>
        <v>7.6833138466677799E-3</v>
      </c>
      <c r="E13" s="52">
        <f>Reorganized!D13/Reorganized!D$6</f>
        <v>9.2621664050235482E-3</v>
      </c>
      <c r="F13" s="52">
        <f>Reorganized!E13/Reorganized!E$6</f>
        <v>3.6714089031665903E-3</v>
      </c>
      <c r="G13" s="52">
        <f>Reorganized!F13/Reorganized!F$6</f>
        <v>5.944377609511004E-3</v>
      </c>
      <c r="H13" s="52">
        <f>Reorganized!G13/Reorganized!G$6</f>
        <v>2.2102703897443456E-3</v>
      </c>
      <c r="I13" s="19">
        <f t="shared" si="1"/>
        <v>2.2102703897443456E-3</v>
      </c>
      <c r="J13" s="19">
        <f t="shared" si="1"/>
        <v>2.2102703897443456E-3</v>
      </c>
      <c r="K13" s="19">
        <f t="shared" si="1"/>
        <v>2.2102703897443456E-3</v>
      </c>
      <c r="L13" s="19">
        <f t="shared" si="1"/>
        <v>2.2102703897443456E-3</v>
      </c>
      <c r="M13" s="19">
        <f t="shared" si="1"/>
        <v>2.2102703897443456E-3</v>
      </c>
      <c r="N13" s="19">
        <f t="shared" si="1"/>
        <v>2.2102703897443456E-3</v>
      </c>
      <c r="O13" s="1"/>
      <c r="P13" s="1"/>
      <c r="Q13" s="1"/>
      <c r="R13" s="1"/>
      <c r="S13" s="1"/>
      <c r="T13" s="1"/>
    </row>
    <row r="14" spans="1:20">
      <c r="A14" s="74"/>
      <c r="B14" s="14" t="s">
        <v>126</v>
      </c>
      <c r="C14" s="49">
        <f>Reorganized!B14/Reorganized!B$6</f>
        <v>2.5302114803625379E-2</v>
      </c>
      <c r="D14" s="49">
        <f>Reorganized!C14/Reorganized!C$6</f>
        <v>4.0921997661600134E-3</v>
      </c>
      <c r="E14" s="49">
        <f>Reorganized!D14/Reorganized!D$6</f>
        <v>4.1601255886970171E-3</v>
      </c>
      <c r="F14" s="49">
        <f>Reorganized!E14/Reorganized!E$6</f>
        <v>4.2833103870276888E-3</v>
      </c>
      <c r="G14" s="49">
        <f>Reorganized!F14/Reorganized!F$6</f>
        <v>6.7228080107564932E-3</v>
      </c>
      <c r="H14" s="49">
        <f>Reorganized!G14/Reorganized!G$6</f>
        <v>7.9569734030796434E-3</v>
      </c>
      <c r="I14" s="54">
        <f t="shared" si="1"/>
        <v>7.9569734030796434E-3</v>
      </c>
      <c r="J14" s="54">
        <f t="shared" si="1"/>
        <v>7.9569734030796434E-3</v>
      </c>
      <c r="K14" s="54">
        <f t="shared" si="1"/>
        <v>7.9569734030796434E-3</v>
      </c>
      <c r="L14" s="54">
        <f t="shared" si="1"/>
        <v>7.9569734030796434E-3</v>
      </c>
      <c r="M14" s="54">
        <f t="shared" si="1"/>
        <v>7.9569734030796434E-3</v>
      </c>
      <c r="N14" s="54">
        <f t="shared" si="1"/>
        <v>7.9569734030796434E-3</v>
      </c>
      <c r="O14" s="1"/>
      <c r="P14" s="1"/>
      <c r="Q14" s="1"/>
      <c r="R14" s="1"/>
      <c r="S14" s="1"/>
      <c r="T14" s="1"/>
    </row>
    <row r="15" spans="1:20">
      <c r="A15" s="74"/>
      <c r="B15" s="37" t="s">
        <v>11</v>
      </c>
      <c r="C15" s="30">
        <f>Reorganized!B15/Reorganized!B$6</f>
        <v>0.11952416918429003</v>
      </c>
      <c r="D15" s="30">
        <f>Reorganized!C15/Reorganized!C$6</f>
        <v>0.10205445131117422</v>
      </c>
      <c r="E15" s="30">
        <f>Reorganized!D15/Reorganized!D$6</f>
        <v>9.8979591836734687E-2</v>
      </c>
      <c r="F15" s="30">
        <f>Reorganized!E15/Reorganized!E$6</f>
        <v>0.10731222273214013</v>
      </c>
      <c r="G15" s="30">
        <f>Reorganized!F15/Reorganized!F$6</f>
        <v>0.10869719057391551</v>
      </c>
      <c r="H15" s="30">
        <f>Reorganized!G15/Reorganized!G$6</f>
        <v>0.10329330288071907</v>
      </c>
      <c r="I15" s="30">
        <f>Reorganized!H15/Reorganized!H$6</f>
        <v>0.10329330288071908</v>
      </c>
      <c r="J15" s="30">
        <f>Reorganized!I15/Reorganized!I$6</f>
        <v>0.10329330288071914</v>
      </c>
      <c r="K15" s="30">
        <f>Reorganized!J15/Reorganized!J$6</f>
        <v>0.10329330288071911</v>
      </c>
      <c r="L15" s="30">
        <f>Reorganized!K15/Reorganized!K$6</f>
        <v>0.10329330288071914</v>
      </c>
      <c r="M15" s="30">
        <f>Reorganized!L15/Reorganized!L$6</f>
        <v>0.10329330288071911</v>
      </c>
      <c r="N15" s="30">
        <f>Reorganized!M15/Reorganized!M$6</f>
        <v>0.10329330288071907</v>
      </c>
      <c r="O15" s="1"/>
      <c r="P15" s="1"/>
      <c r="Q15" s="1"/>
      <c r="R15" s="1"/>
      <c r="S15" s="1"/>
      <c r="T15" s="1"/>
    </row>
    <row r="16" spans="1:20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1"/>
      <c r="P16" s="1"/>
      <c r="Q16" s="1"/>
      <c r="R16" s="1"/>
      <c r="S16" s="1"/>
      <c r="T16" s="1"/>
    </row>
    <row r="17" spans="2:20">
      <c r="B17" s="1" t="s">
        <v>52</v>
      </c>
      <c r="C17" s="49">
        <f>-Reorganized!B17/Reorganized!B15</f>
        <v>-1.3859043596468027E-2</v>
      </c>
      <c r="D17" s="49">
        <f>-Reorganized!C17/Reorganized!C15</f>
        <v>0.29462729046181491</v>
      </c>
      <c r="E17" s="49">
        <f>-Reorganized!D17/Reorganized!D15</f>
        <v>0.29894614467515795</v>
      </c>
      <c r="F17" s="49">
        <f>-Reorganized!E17/Reorganized!E15</f>
        <v>0.30734141126158238</v>
      </c>
      <c r="G17" s="49">
        <f>-Reorganized!F17/Reorganized!F15</f>
        <v>0.312376754251178</v>
      </c>
      <c r="H17" s="49">
        <f>-Reorganized!G17/Reorganized!G15</f>
        <v>0.28677998339740646</v>
      </c>
      <c r="I17" s="19">
        <f t="shared" si="1"/>
        <v>0.28677998339740646</v>
      </c>
      <c r="J17" s="19">
        <f t="shared" si="1"/>
        <v>0.28677998339740646</v>
      </c>
      <c r="K17" s="19">
        <f t="shared" si="1"/>
        <v>0.28677998339740646</v>
      </c>
      <c r="L17" s="19">
        <f t="shared" si="1"/>
        <v>0.28677998339740646</v>
      </c>
      <c r="M17" s="19">
        <f t="shared" si="1"/>
        <v>0.28677998339740646</v>
      </c>
      <c r="N17" s="19">
        <f t="shared" si="1"/>
        <v>0.28677998339740646</v>
      </c>
      <c r="O17" s="1"/>
      <c r="P17" s="1"/>
      <c r="Q17" s="1"/>
      <c r="R17" s="1"/>
      <c r="S17" s="1"/>
      <c r="T17" s="1"/>
    </row>
    <row r="18" spans="2:20" ht="15.75" thickBot="1">
      <c r="B18" s="15" t="s">
        <v>53</v>
      </c>
      <c r="C18" s="36">
        <f>Reorganized!B18/Reorganized!B$6</f>
        <v>0.12118065985584671</v>
      </c>
      <c r="D18" s="36">
        <f>Reorganized!C18/Reorganized!C$6</f>
        <v>7.1986424841795738E-2</v>
      </c>
      <c r="E18" s="36">
        <f>Reorganized!D18/Reorganized!D$6</f>
        <v>6.9390024455622118E-2</v>
      </c>
      <c r="F18" s="36">
        <f>Reorganized!E18/Reorganized!E$6</f>
        <v>7.4330732752026923E-2</v>
      </c>
      <c r="G18" s="36">
        <f>Reorganized!F18/Reorganized!F$6</f>
        <v>7.4742714986214029E-2</v>
      </c>
      <c r="H18" s="36">
        <f>Reorganized!G18/Reorganized!G$6</f>
        <v>7.3670851195523177E-2</v>
      </c>
      <c r="I18" s="36">
        <f>Reorganized!H18/Reorganized!H$6</f>
        <v>7.3670851195523204E-2</v>
      </c>
      <c r="J18" s="36">
        <f>Reorganized!I18/Reorganized!I$6</f>
        <v>7.3670851195523232E-2</v>
      </c>
      <c r="K18" s="36">
        <f>Reorganized!J18/Reorganized!J$6</f>
        <v>7.3670851195523204E-2</v>
      </c>
      <c r="L18" s="36">
        <f>Reorganized!K18/Reorganized!K$6</f>
        <v>7.3670851195523232E-2</v>
      </c>
      <c r="M18" s="36">
        <f>Reorganized!L18/Reorganized!L$6</f>
        <v>7.3670851195523204E-2</v>
      </c>
      <c r="N18" s="36">
        <f>Reorganized!M18/Reorganized!M$6</f>
        <v>7.3670851195523177E-2</v>
      </c>
      <c r="O18" s="1"/>
      <c r="P18" s="1"/>
      <c r="Q18" s="1"/>
      <c r="R18" s="1"/>
      <c r="S18" s="1"/>
      <c r="T18" s="1"/>
    </row>
    <row r="19" spans="2:20" ht="15.75" thickTop="1">
      <c r="O19" s="1"/>
      <c r="P19" s="1"/>
      <c r="Q19" s="1"/>
      <c r="R19" s="1"/>
      <c r="S19" s="1"/>
      <c r="T19" s="1"/>
    </row>
    <row r="20" spans="2:20">
      <c r="O20" s="1"/>
      <c r="P20" s="1"/>
      <c r="Q20" s="1"/>
      <c r="R20" s="1"/>
      <c r="S20" s="1"/>
      <c r="T20" s="1"/>
    </row>
    <row r="21" spans="2:20">
      <c r="B21" s="2" t="s">
        <v>101</v>
      </c>
      <c r="O21" s="1"/>
      <c r="P21" s="1"/>
      <c r="Q21" s="1"/>
      <c r="R21" s="1"/>
      <c r="S21" s="1"/>
      <c r="T21" s="1"/>
    </row>
    <row r="22" spans="2:20">
      <c r="O22" s="1"/>
      <c r="P22" s="1"/>
      <c r="Q22" s="1"/>
      <c r="R22" s="1"/>
      <c r="S22" s="1"/>
      <c r="T22" s="1"/>
    </row>
    <row r="23" spans="2:20">
      <c r="B23" s="3" t="str">
        <f t="shared" ref="B23" si="2">B5</f>
        <v>EUR millions</v>
      </c>
      <c r="C23" s="3">
        <f t="shared" ref="C23:H23" si="3">C5</f>
        <v>2004</v>
      </c>
      <c r="D23" s="3">
        <f t="shared" si="3"/>
        <v>2005</v>
      </c>
      <c r="E23" s="3">
        <f t="shared" si="3"/>
        <v>2006</v>
      </c>
      <c r="F23" s="3">
        <f t="shared" si="3"/>
        <v>2007</v>
      </c>
      <c r="G23" s="3">
        <f t="shared" si="3"/>
        <v>2008</v>
      </c>
      <c r="H23" s="3">
        <f t="shared" si="3"/>
        <v>2009</v>
      </c>
      <c r="I23" s="3">
        <f t="shared" ref="I23:M23" si="4">I5</f>
        <v>2010</v>
      </c>
      <c r="J23" s="3">
        <f t="shared" si="4"/>
        <v>2011</v>
      </c>
      <c r="K23" s="3">
        <f t="shared" si="4"/>
        <v>2012</v>
      </c>
      <c r="L23" s="3">
        <f t="shared" si="4"/>
        <v>2013</v>
      </c>
      <c r="M23" s="3">
        <f t="shared" si="4"/>
        <v>2014</v>
      </c>
      <c r="N23" s="3">
        <f t="shared" ref="N23" si="5">N5</f>
        <v>2015</v>
      </c>
      <c r="O23" s="1"/>
      <c r="P23" s="1"/>
      <c r="Q23" s="1"/>
      <c r="R23" s="1"/>
      <c r="S23" s="1"/>
      <c r="T23" s="1"/>
    </row>
    <row r="24" spans="2:20">
      <c r="B24" s="1" t="s">
        <v>47</v>
      </c>
      <c r="C24" s="30">
        <f>Taxes!K27</f>
        <v>0.40083289953149404</v>
      </c>
      <c r="D24" s="30">
        <f>Taxes!L27</f>
        <v>0.40019193857965452</v>
      </c>
      <c r="E24" s="30">
        <f>Taxes!M27</f>
        <v>0.39965986394557823</v>
      </c>
      <c r="F24" s="30">
        <f>Taxes!N27</f>
        <v>0.4</v>
      </c>
      <c r="G24" s="30">
        <f>Taxes!O27</f>
        <v>0.30977258758451137</v>
      </c>
      <c r="H24" s="30">
        <f>Taxes!P27</f>
        <v>0.30960451977401132</v>
      </c>
      <c r="I24" s="20">
        <f>H24</f>
        <v>0.30960451977401132</v>
      </c>
      <c r="J24" s="20">
        <f t="shared" ref="J24:N24" si="6">I24</f>
        <v>0.30960451977401132</v>
      </c>
      <c r="K24" s="20">
        <f t="shared" si="6"/>
        <v>0.30960451977401132</v>
      </c>
      <c r="L24" s="20">
        <f t="shared" si="6"/>
        <v>0.30960451977401132</v>
      </c>
      <c r="M24" s="20">
        <f t="shared" si="6"/>
        <v>0.30960451977401132</v>
      </c>
      <c r="N24" s="20">
        <f t="shared" si="6"/>
        <v>0.30960451977401132</v>
      </c>
      <c r="O24" s="1"/>
      <c r="P24" s="1"/>
      <c r="Q24" s="1"/>
      <c r="R24" s="1"/>
      <c r="S24" s="1"/>
      <c r="T24" s="1"/>
    </row>
    <row r="25" spans="2:20">
      <c r="B25" s="1" t="s">
        <v>96</v>
      </c>
      <c r="C25" s="51">
        <f t="shared" ref="C25:H25" si="7">C26-C24</f>
        <v>-0.41469194312796204</v>
      </c>
      <c r="D25" s="51">
        <f t="shared" si="7"/>
        <v>-0.10556464811783961</v>
      </c>
      <c r="E25" s="51">
        <f t="shared" si="7"/>
        <v>-0.10071371927042028</v>
      </c>
      <c r="F25" s="51">
        <f t="shared" si="7"/>
        <v>-9.2658588738417647E-2</v>
      </c>
      <c r="G25" s="51">
        <f t="shared" si="7"/>
        <v>2.6041666666666297E-3</v>
      </c>
      <c r="H25" s="51">
        <f t="shared" si="7"/>
        <v>-2.2824536376604865E-2</v>
      </c>
      <c r="I25" s="54">
        <f>H25</f>
        <v>-2.2824536376604865E-2</v>
      </c>
      <c r="J25" s="54">
        <f t="shared" ref="J25:N25" si="8">I25</f>
        <v>-2.2824536376604865E-2</v>
      </c>
      <c r="K25" s="54">
        <f t="shared" si="8"/>
        <v>-2.2824536376604865E-2</v>
      </c>
      <c r="L25" s="54">
        <f t="shared" si="8"/>
        <v>-2.2824536376604865E-2</v>
      </c>
      <c r="M25" s="54">
        <f t="shared" si="8"/>
        <v>-2.2824536376604865E-2</v>
      </c>
      <c r="N25" s="54">
        <f t="shared" si="8"/>
        <v>-2.2824536376604865E-2</v>
      </c>
      <c r="O25" s="1"/>
      <c r="P25" s="1"/>
      <c r="Q25" s="1"/>
      <c r="R25" s="1"/>
      <c r="S25" s="1"/>
      <c r="T25" s="1"/>
    </row>
    <row r="26" spans="2:20" ht="15.75" thickBot="1">
      <c r="B26" s="15" t="s">
        <v>52</v>
      </c>
      <c r="C26" s="36">
        <f>Reorganized!B26/Reorganized!B15</f>
        <v>-1.3859043596468027E-2</v>
      </c>
      <c r="D26" s="36">
        <f>Reorganized!C26/Reorganized!C15</f>
        <v>0.29462729046181491</v>
      </c>
      <c r="E26" s="36">
        <f>Reorganized!D26/Reorganized!D15</f>
        <v>0.29894614467515795</v>
      </c>
      <c r="F26" s="36">
        <f>Reorganized!E26/Reorganized!E15</f>
        <v>0.30734141126158238</v>
      </c>
      <c r="G26" s="36">
        <f>Reorganized!F26/Reorganized!F15</f>
        <v>0.312376754251178</v>
      </c>
      <c r="H26" s="36">
        <f>Reorganized!G26/Reorganized!G15</f>
        <v>0.28677998339740646</v>
      </c>
      <c r="I26" s="36">
        <f>Reorganized!H26/Reorganized!H15</f>
        <v>0.28677998339740646</v>
      </c>
      <c r="J26" s="36">
        <f>Reorganized!I26/Reorganized!I15</f>
        <v>0.28677998339740646</v>
      </c>
      <c r="K26" s="36">
        <f>Reorganized!J26/Reorganized!J15</f>
        <v>0.28677998339740646</v>
      </c>
      <c r="L26" s="36">
        <f>Reorganized!K26/Reorganized!K15</f>
        <v>0.28677998339740651</v>
      </c>
      <c r="M26" s="36">
        <f>Reorganized!L26/Reorganized!L15</f>
        <v>0.28677998339740646</v>
      </c>
      <c r="N26" s="36">
        <f>Reorganized!M26/Reorganized!M15</f>
        <v>0.2867799833974064</v>
      </c>
      <c r="O26" s="1"/>
      <c r="P26" s="1"/>
      <c r="Q26" s="1"/>
      <c r="R26" s="1"/>
      <c r="S26" s="1"/>
      <c r="T26" s="1"/>
    </row>
    <row r="27" spans="2:20" ht="15.75" thickTop="1">
      <c r="B27" s="2"/>
      <c r="O27" s="1"/>
      <c r="P27" s="1"/>
      <c r="Q27" s="1"/>
      <c r="R27" s="1"/>
      <c r="S27" s="1"/>
      <c r="T27" s="1"/>
    </row>
    <row r="28" spans="2:20">
      <c r="B28" s="2"/>
    </row>
    <row r="29" spans="2:20">
      <c r="B29" s="2" t="str">
        <f>company_name</f>
        <v>Henkel AG</v>
      </c>
      <c r="D29" s="2"/>
      <c r="O29" s="1"/>
      <c r="P29" s="1"/>
      <c r="Q29" s="1"/>
      <c r="R29" s="1"/>
      <c r="S29" s="1"/>
      <c r="T29" s="1"/>
    </row>
    <row r="30" spans="2:20">
      <c r="B30" s="1" t="s">
        <v>202</v>
      </c>
      <c r="I30" s="73" t="s">
        <v>204</v>
      </c>
      <c r="J30" s="73"/>
      <c r="K30" s="73"/>
      <c r="L30" s="73"/>
      <c r="M30" s="73"/>
      <c r="N30" s="73"/>
      <c r="O30" s="1"/>
      <c r="P30" s="1"/>
      <c r="Q30" s="1"/>
      <c r="R30" s="1"/>
      <c r="S30" s="1"/>
      <c r="T30" s="1"/>
    </row>
    <row r="31" spans="2:20">
      <c r="B31" s="10"/>
    </row>
    <row r="32" spans="2:20">
      <c r="B32" s="3" t="str">
        <f>Financials!A5</f>
        <v>EUR millions</v>
      </c>
      <c r="C32" s="3">
        <v>2004</v>
      </c>
      <c r="D32" s="3">
        <f>C32+1</f>
        <v>2005</v>
      </c>
      <c r="E32" s="3">
        <f>D32+1</f>
        <v>2006</v>
      </c>
      <c r="F32" s="3">
        <f>E32+1</f>
        <v>2007</v>
      </c>
      <c r="G32" s="3">
        <f>F32+1</f>
        <v>2008</v>
      </c>
      <c r="H32" s="3">
        <f>G32+1</f>
        <v>2009</v>
      </c>
      <c r="I32" s="3">
        <f t="shared" ref="I32:N32" si="9">H32+1</f>
        <v>2010</v>
      </c>
      <c r="J32" s="3">
        <f t="shared" si="9"/>
        <v>2011</v>
      </c>
      <c r="K32" s="3">
        <f t="shared" si="9"/>
        <v>2012</v>
      </c>
      <c r="L32" s="3">
        <f t="shared" si="9"/>
        <v>2013</v>
      </c>
      <c r="M32" s="3">
        <f t="shared" si="9"/>
        <v>2014</v>
      </c>
      <c r="N32" s="3">
        <f t="shared" si="9"/>
        <v>2015</v>
      </c>
      <c r="O32" s="1"/>
      <c r="P32" s="1"/>
      <c r="Q32" s="1"/>
      <c r="R32" s="1"/>
      <c r="S32" s="1"/>
      <c r="T32" s="1"/>
    </row>
    <row r="33" spans="1:20" ht="15" customHeight="1">
      <c r="A33" s="74" t="s">
        <v>103</v>
      </c>
      <c r="B33" s="13" t="s">
        <v>42</v>
      </c>
      <c r="C33" s="17">
        <f>365*Reorganized!B47/Reorganized!B$6</f>
        <v>7.3000000000000007</v>
      </c>
      <c r="D33" s="17">
        <f>365*Reorganized!C47/Reorganized!C$6</f>
        <v>7.3000000000000007</v>
      </c>
      <c r="E33" s="17">
        <f>365*Reorganized!D47/Reorganized!D$6</f>
        <v>7.3</v>
      </c>
      <c r="F33" s="17">
        <f>365*Reorganized!E47/Reorganized!E$6</f>
        <v>7.3000000000000007</v>
      </c>
      <c r="G33" s="17">
        <f>365*Reorganized!F47/Reorganized!F$6</f>
        <v>7.3</v>
      </c>
      <c r="H33" s="17">
        <f>365*Reorganized!G47/Reorganized!G$6</f>
        <v>7.3</v>
      </c>
      <c r="I33" s="55">
        <f>H33</f>
        <v>7.3</v>
      </c>
      <c r="J33" s="55">
        <f t="shared" ref="J33:N33" si="10">I33</f>
        <v>7.3</v>
      </c>
      <c r="K33" s="55">
        <f t="shared" si="10"/>
        <v>7.3</v>
      </c>
      <c r="L33" s="55">
        <f t="shared" si="10"/>
        <v>7.3</v>
      </c>
      <c r="M33" s="55">
        <f t="shared" si="10"/>
        <v>7.3</v>
      </c>
      <c r="N33" s="55">
        <f t="shared" si="10"/>
        <v>7.3</v>
      </c>
      <c r="O33" s="1"/>
      <c r="P33" s="1"/>
      <c r="Q33" s="1"/>
      <c r="R33" s="1"/>
      <c r="S33" s="1"/>
      <c r="T33" s="1"/>
    </row>
    <row r="34" spans="1:20">
      <c r="A34" s="74"/>
      <c r="B34" s="13" t="s">
        <v>22</v>
      </c>
      <c r="C34" s="17">
        <f>365*Reorganized!B48/Reorganized!B$6</f>
        <v>41.214123867069489</v>
      </c>
      <c r="D34" s="17">
        <f>365*Reorganized!C48/Reorganized!C$6</f>
        <v>37.55470185401704</v>
      </c>
      <c r="E34" s="17">
        <f>365*Reorganized!D48/Reorganized!D$6</f>
        <v>37.961145996860282</v>
      </c>
      <c r="F34" s="17">
        <f>365*Reorganized!E48/Reorganized!E$6</f>
        <v>35.81880067309163</v>
      </c>
      <c r="G34" s="17">
        <f>365*Reorganized!F48/Reorganized!F$6</f>
        <v>38.279668813247469</v>
      </c>
      <c r="H34" s="17">
        <f>365*Reorganized!G48/Reorganized!G$6</f>
        <v>32.753996905621456</v>
      </c>
      <c r="I34" s="55">
        <f t="shared" ref="I34:N49" si="11">H34</f>
        <v>32.753996905621456</v>
      </c>
      <c r="J34" s="55">
        <f t="shared" si="11"/>
        <v>32.753996905621456</v>
      </c>
      <c r="K34" s="55">
        <f t="shared" si="11"/>
        <v>32.753996905621456</v>
      </c>
      <c r="L34" s="55">
        <f t="shared" si="11"/>
        <v>32.753996905621456</v>
      </c>
      <c r="M34" s="55">
        <f t="shared" si="11"/>
        <v>32.753996905621456</v>
      </c>
      <c r="N34" s="55">
        <f t="shared" si="11"/>
        <v>32.753996905621456</v>
      </c>
      <c r="O34" s="1"/>
      <c r="P34" s="1"/>
      <c r="Q34" s="1"/>
      <c r="R34" s="1"/>
      <c r="S34" s="1"/>
      <c r="T34" s="1"/>
    </row>
    <row r="35" spans="1:20">
      <c r="A35" s="74"/>
      <c r="B35" s="13" t="s">
        <v>119</v>
      </c>
      <c r="C35" s="17">
        <f>365*Reorganized!B49/Reorganized!B$6</f>
        <v>60.063727341389729</v>
      </c>
      <c r="D35" s="17">
        <f>365*Reorganized!C49/Reorganized!C$6</f>
        <v>54.685986303657927</v>
      </c>
      <c r="E35" s="17">
        <f>365*Reorganized!D49/Reorganized!D$6</f>
        <v>53.518053375196232</v>
      </c>
      <c r="F35" s="17">
        <f>365*Reorganized!E49/Reorganized!E$6</f>
        <v>47.293100810769467</v>
      </c>
      <c r="G35" s="17">
        <f>365*Reorganized!F49/Reorganized!F$6</f>
        <v>47.707522468332037</v>
      </c>
      <c r="H35" s="17">
        <f>365*Reorganized!G49/Reorganized!G$6</f>
        <v>46.280483312458557</v>
      </c>
      <c r="I35" s="55">
        <f t="shared" si="11"/>
        <v>46.280483312458557</v>
      </c>
      <c r="J35" s="55">
        <f t="shared" si="11"/>
        <v>46.280483312458557</v>
      </c>
      <c r="K35" s="55">
        <f t="shared" si="11"/>
        <v>46.280483312458557</v>
      </c>
      <c r="L35" s="55">
        <f t="shared" si="11"/>
        <v>46.280483312458557</v>
      </c>
      <c r="M35" s="55">
        <f t="shared" si="11"/>
        <v>46.280483312458557</v>
      </c>
      <c r="N35" s="55">
        <f t="shared" si="11"/>
        <v>46.280483312458557</v>
      </c>
      <c r="O35" s="1"/>
      <c r="P35" s="1"/>
      <c r="Q35" s="1"/>
      <c r="R35" s="1"/>
      <c r="S35" s="1"/>
      <c r="T35" s="1"/>
    </row>
    <row r="36" spans="1:20">
      <c r="A36" s="74"/>
      <c r="B36" s="13" t="s">
        <v>59</v>
      </c>
      <c r="C36" s="17">
        <f>365*Reorganized!B50/Reorganized!B$6</f>
        <v>0</v>
      </c>
      <c r="D36" s="17">
        <f>365*Reorganized!C50/Reorganized!C$6</f>
        <v>3.6884082178052449</v>
      </c>
      <c r="E36" s="17">
        <f>365*Reorganized!D50/Reorganized!D$6</f>
        <v>3.1514913657770802</v>
      </c>
      <c r="F36" s="17">
        <f>365*Reorganized!E50/Reorganized!E$6</f>
        <v>2.5126204681046351</v>
      </c>
      <c r="G36" s="17">
        <f>365*Reorganized!F50/Reorganized!F$6</f>
        <v>5.2176066803481707</v>
      </c>
      <c r="H36" s="17">
        <f>365*Reorganized!G50/Reorganized!G$6</f>
        <v>3.7379356074559786</v>
      </c>
      <c r="I36" s="55">
        <f t="shared" si="11"/>
        <v>3.7379356074559786</v>
      </c>
      <c r="J36" s="55">
        <f t="shared" si="11"/>
        <v>3.7379356074559786</v>
      </c>
      <c r="K36" s="55">
        <f t="shared" si="11"/>
        <v>3.7379356074559786</v>
      </c>
      <c r="L36" s="55">
        <f t="shared" si="11"/>
        <v>3.7379356074559786</v>
      </c>
      <c r="M36" s="55">
        <f t="shared" si="11"/>
        <v>3.7379356074559786</v>
      </c>
      <c r="N36" s="55">
        <f t="shared" si="11"/>
        <v>3.7379356074559786</v>
      </c>
      <c r="O36" s="1"/>
      <c r="P36" s="1"/>
      <c r="Q36" s="1"/>
      <c r="R36" s="1"/>
      <c r="S36" s="1"/>
      <c r="T36" s="1"/>
    </row>
    <row r="37" spans="1:20">
      <c r="A37" s="74"/>
      <c r="B37" s="13" t="s">
        <v>58</v>
      </c>
      <c r="C37" s="24">
        <f>365*Reorganized!B51/Reorganized!B$6</f>
        <v>26.77539652567976</v>
      </c>
      <c r="D37" s="24">
        <f>365*Reorganized!C51/Reorganized!C$6</f>
        <v>11.522465341573408</v>
      </c>
      <c r="E37" s="24">
        <f>365*Reorganized!D51/Reorganized!D$6</f>
        <v>8.9387755102040813</v>
      </c>
      <c r="F37" s="24">
        <f>365*Reorganized!E51/Reorganized!E$6</f>
        <v>8.7941716383662225</v>
      </c>
      <c r="G37" s="24">
        <f>365*Reorganized!F51/Reorganized!F$6</f>
        <v>6.6124124265798603</v>
      </c>
      <c r="H37" s="24">
        <f>365*Reorganized!G51/Reorganized!G$6</f>
        <v>6.0237235688499222</v>
      </c>
      <c r="I37" s="56">
        <f t="shared" si="11"/>
        <v>6.0237235688499222</v>
      </c>
      <c r="J37" s="56">
        <f t="shared" si="11"/>
        <v>6.0237235688499222</v>
      </c>
      <c r="K37" s="56">
        <f t="shared" si="11"/>
        <v>6.0237235688499222</v>
      </c>
      <c r="L37" s="56">
        <f t="shared" si="11"/>
        <v>6.0237235688499222</v>
      </c>
      <c r="M37" s="56">
        <f t="shared" si="11"/>
        <v>6.0237235688499222</v>
      </c>
      <c r="N37" s="56">
        <f t="shared" si="11"/>
        <v>6.0237235688499222</v>
      </c>
      <c r="O37" s="1"/>
      <c r="P37" s="1"/>
      <c r="Q37" s="1"/>
      <c r="R37" s="1"/>
      <c r="S37" s="1"/>
      <c r="T37" s="1"/>
    </row>
    <row r="38" spans="1:20">
      <c r="A38" s="74"/>
      <c r="B38" s="25" t="s">
        <v>36</v>
      </c>
      <c r="C38" s="17">
        <f>365*Reorganized!B52/Reorganized!B$6</f>
        <v>135.35324773413899</v>
      </c>
      <c r="D38" s="17">
        <f>365*Reorganized!C52/Reorganized!C$6</f>
        <v>114.75156171705362</v>
      </c>
      <c r="E38" s="17">
        <f>365*Reorganized!D52/Reorganized!D$6</f>
        <v>110.86946624803768</v>
      </c>
      <c r="F38" s="17">
        <f>365*Reorganized!E52/Reorganized!E$6</f>
        <v>101.71869359033195</v>
      </c>
      <c r="G38" s="17">
        <f>365*Reorganized!F52/Reorganized!F$6</f>
        <v>105.11721038850754</v>
      </c>
      <c r="H38" s="17">
        <f>365*Reorganized!G52/Reorganized!G$6</f>
        <v>96.096139394385901</v>
      </c>
      <c r="I38" s="17">
        <f>365*Reorganized!H52/Reorganized!H$6</f>
        <v>96.096139394385915</v>
      </c>
      <c r="J38" s="17">
        <f>365*Reorganized!I52/Reorganized!I$6</f>
        <v>96.096139394385901</v>
      </c>
      <c r="K38" s="17">
        <f>365*Reorganized!J52/Reorganized!J$6</f>
        <v>96.096139394385901</v>
      </c>
      <c r="L38" s="17">
        <f>365*Reorganized!K52/Reorganized!K$6</f>
        <v>96.096139394385915</v>
      </c>
      <c r="M38" s="17">
        <f>365*Reorganized!L52/Reorganized!L$6</f>
        <v>96.096139394385915</v>
      </c>
      <c r="N38" s="17">
        <f>365*Reorganized!M52/Reorganized!M$6</f>
        <v>96.096139394385901</v>
      </c>
      <c r="O38" s="1"/>
      <c r="P38" s="1"/>
      <c r="Q38" s="1"/>
      <c r="R38" s="1"/>
      <c r="S38" s="1"/>
      <c r="T38" s="1"/>
    </row>
    <row r="39" spans="1:20">
      <c r="A39" s="74"/>
      <c r="B39" s="1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"/>
      <c r="P39" s="1"/>
      <c r="Q39" s="1"/>
      <c r="R39" s="1"/>
      <c r="S39" s="1"/>
      <c r="T39" s="1"/>
    </row>
    <row r="40" spans="1:20">
      <c r="A40" s="74"/>
      <c r="B40" s="13" t="s">
        <v>122</v>
      </c>
      <c r="C40" s="17">
        <f>365*Reorganized!B54/Reorganized!B$6</f>
        <v>0</v>
      </c>
      <c r="D40" s="17">
        <f>365*Reorganized!C54/Reorganized!C$6</f>
        <v>0</v>
      </c>
      <c r="E40" s="17">
        <f>365*Reorganized!D54/Reorganized!D$6</f>
        <v>3.8677394034536894</v>
      </c>
      <c r="F40" s="17">
        <f>365*Reorganized!E54/Reorganized!E$6</f>
        <v>4.6623068685941567</v>
      </c>
      <c r="G40" s="17">
        <f>365*Reorganized!F54/Reorganized!F$6</f>
        <v>9.1437265586299628</v>
      </c>
      <c r="H40" s="17">
        <f>365*Reorganized!G54/Reorganized!G$6</f>
        <v>6.292639799602151</v>
      </c>
      <c r="I40" s="55">
        <f t="shared" si="11"/>
        <v>6.292639799602151</v>
      </c>
      <c r="J40" s="55">
        <f t="shared" si="11"/>
        <v>6.292639799602151</v>
      </c>
      <c r="K40" s="55">
        <f t="shared" si="11"/>
        <v>6.292639799602151</v>
      </c>
      <c r="L40" s="55">
        <f t="shared" si="11"/>
        <v>6.292639799602151</v>
      </c>
      <c r="M40" s="55">
        <f t="shared" si="11"/>
        <v>6.292639799602151</v>
      </c>
      <c r="N40" s="55">
        <f t="shared" si="11"/>
        <v>6.292639799602151</v>
      </c>
      <c r="O40" s="1"/>
      <c r="P40" s="1"/>
      <c r="Q40" s="1"/>
      <c r="R40" s="1"/>
      <c r="S40" s="1"/>
      <c r="T40" s="1"/>
    </row>
    <row r="41" spans="1:20">
      <c r="A41" s="74"/>
      <c r="B41" s="13" t="s">
        <v>120</v>
      </c>
      <c r="C41" s="17">
        <f>365*Reorganized!B55/Reorganized!B$6</f>
        <v>0</v>
      </c>
      <c r="D41" s="17">
        <f>365*Reorganized!C55/Reorganized!C$6</f>
        <v>28.409888090863539</v>
      </c>
      <c r="E41" s="17">
        <f>365*Reorganized!D55/Reorganized!D$6</f>
        <v>25.326530612244898</v>
      </c>
      <c r="F41" s="17">
        <f>365*Reorganized!E55/Reorganized!E$6</f>
        <v>21.301437968487072</v>
      </c>
      <c r="G41" s="17">
        <f>365*Reorganized!F55/Reorganized!F$6</f>
        <v>22.368551411789682</v>
      </c>
      <c r="H41" s="17">
        <f>365*Reorganized!G55/Reorganized!G$6</f>
        <v>25.224342444559053</v>
      </c>
      <c r="I41" s="55">
        <f t="shared" si="11"/>
        <v>25.224342444559053</v>
      </c>
      <c r="J41" s="55">
        <f t="shared" si="11"/>
        <v>25.224342444559053</v>
      </c>
      <c r="K41" s="55">
        <f t="shared" si="11"/>
        <v>25.224342444559053</v>
      </c>
      <c r="L41" s="55">
        <f t="shared" si="11"/>
        <v>25.224342444559053</v>
      </c>
      <c r="M41" s="55">
        <f t="shared" si="11"/>
        <v>25.224342444559053</v>
      </c>
      <c r="N41" s="55">
        <f t="shared" si="11"/>
        <v>25.224342444559053</v>
      </c>
      <c r="O41" s="1"/>
      <c r="P41" s="1"/>
      <c r="Q41" s="1"/>
      <c r="R41" s="1"/>
      <c r="S41" s="1"/>
      <c r="T41" s="1"/>
    </row>
    <row r="42" spans="1:20">
      <c r="A42" s="74"/>
      <c r="B42" s="13" t="s">
        <v>83</v>
      </c>
      <c r="C42" s="17">
        <f>365*Reorganized!B56/Reorganized!B$6</f>
        <v>37.871506797583081</v>
      </c>
      <c r="D42" s="17">
        <f>365*Reorganized!C56/Reorganized!C$6</f>
        <v>40.633455820945379</v>
      </c>
      <c r="E42" s="17">
        <f>365*Reorganized!D56/Reorganized!D$6</f>
        <v>42.80298273155416</v>
      </c>
      <c r="F42" s="17">
        <f>365*Reorganized!E56/Reorganized!E$6</f>
        <v>41.234893682117182</v>
      </c>
      <c r="G42" s="17">
        <f>365*Reorganized!F56/Reorganized!F$6</f>
        <v>43.342297077347673</v>
      </c>
      <c r="H42" s="17">
        <f>365*Reorganized!G56/Reorganized!G$6</f>
        <v>50.690709496795108</v>
      </c>
      <c r="I42" s="55">
        <f t="shared" si="11"/>
        <v>50.690709496795108</v>
      </c>
      <c r="J42" s="55">
        <f t="shared" si="11"/>
        <v>50.690709496795108</v>
      </c>
      <c r="K42" s="55">
        <f t="shared" si="11"/>
        <v>50.690709496795108</v>
      </c>
      <c r="L42" s="55">
        <f t="shared" si="11"/>
        <v>50.690709496795108</v>
      </c>
      <c r="M42" s="55">
        <f t="shared" si="11"/>
        <v>50.690709496795108</v>
      </c>
      <c r="N42" s="55">
        <f t="shared" si="11"/>
        <v>50.690709496795108</v>
      </c>
      <c r="O42" s="1"/>
      <c r="P42" s="1"/>
      <c r="Q42" s="1"/>
      <c r="R42" s="1"/>
      <c r="S42" s="1"/>
      <c r="T42" s="1"/>
    </row>
    <row r="43" spans="1:20">
      <c r="A43" s="74"/>
      <c r="B43" s="13" t="s">
        <v>24</v>
      </c>
      <c r="C43" s="24">
        <f>365*Reorganized!B57/Reorganized!B$6</f>
        <v>16.471865558912388</v>
      </c>
      <c r="D43" s="24">
        <f>365*Reorganized!C57/Reorganized!C$6</f>
        <v>13.869634207449474</v>
      </c>
      <c r="E43" s="24">
        <f>365*Reorganized!D57/Reorganized!D$6</f>
        <v>6.4175824175824179</v>
      </c>
      <c r="F43" s="24">
        <f>365*Reorganized!E57/Reorganized!E$6</f>
        <v>5.5836010402325229</v>
      </c>
      <c r="G43" s="24">
        <f>365*Reorganized!F57/Reorganized!F$6</f>
        <v>7.9038992286462388</v>
      </c>
      <c r="H43" s="24">
        <f>365*Reorganized!G57/Reorganized!G$6</f>
        <v>6.7497973918809402</v>
      </c>
      <c r="I43" s="56">
        <f t="shared" si="11"/>
        <v>6.7497973918809402</v>
      </c>
      <c r="J43" s="56">
        <f t="shared" si="11"/>
        <v>6.7497973918809402</v>
      </c>
      <c r="K43" s="56">
        <f t="shared" si="11"/>
        <v>6.7497973918809402</v>
      </c>
      <c r="L43" s="56">
        <f t="shared" si="11"/>
        <v>6.7497973918809402</v>
      </c>
      <c r="M43" s="56">
        <f t="shared" si="11"/>
        <v>6.7497973918809402</v>
      </c>
      <c r="N43" s="56">
        <f t="shared" si="11"/>
        <v>6.7497973918809402</v>
      </c>
      <c r="O43" s="1"/>
      <c r="P43" s="1"/>
      <c r="Q43" s="1"/>
      <c r="R43" s="1"/>
      <c r="S43" s="1"/>
      <c r="T43" s="1"/>
    </row>
    <row r="44" spans="1:20">
      <c r="A44" s="74"/>
      <c r="B44" s="25" t="s">
        <v>37</v>
      </c>
      <c r="C44" s="17">
        <f>365*Reorganized!B58/Reorganized!B$6</f>
        <v>54.343372356495472</v>
      </c>
      <c r="D44" s="17">
        <f>365*Reorganized!C58/Reorganized!C$6</f>
        <v>82.912978119258398</v>
      </c>
      <c r="E44" s="17">
        <f>365*Reorganized!D58/Reorganized!D$6</f>
        <v>78.414835164835168</v>
      </c>
      <c r="F44" s="17">
        <f>365*Reorganized!E58/Reorganized!E$6</f>
        <v>72.782239559430934</v>
      </c>
      <c r="G44" s="17">
        <f>365*Reorganized!F58/Reorganized!F$6</f>
        <v>82.758474276413565</v>
      </c>
      <c r="H44" s="17">
        <f>365*Reorganized!G58/Reorganized!G$6</f>
        <v>88.957489132837253</v>
      </c>
      <c r="I44" s="17">
        <f>365*Reorganized!H58/Reorganized!H$6</f>
        <v>88.957489132837239</v>
      </c>
      <c r="J44" s="17">
        <f>365*Reorganized!I58/Reorganized!I$6</f>
        <v>88.957489132837253</v>
      </c>
      <c r="K44" s="17">
        <f>365*Reorganized!J58/Reorganized!J$6</f>
        <v>88.957489132837267</v>
      </c>
      <c r="L44" s="17">
        <f>365*Reorganized!K58/Reorganized!K$6</f>
        <v>88.957489132837267</v>
      </c>
      <c r="M44" s="17">
        <f>365*Reorganized!L58/Reorganized!L$6</f>
        <v>88.957489132837253</v>
      </c>
      <c r="N44" s="17">
        <f>365*Reorganized!M58/Reorganized!M$6</f>
        <v>88.957489132837239</v>
      </c>
      <c r="O44" s="1"/>
      <c r="P44" s="1"/>
      <c r="Q44" s="1"/>
      <c r="R44" s="1"/>
      <c r="S44" s="1"/>
      <c r="T44" s="1"/>
    </row>
    <row r="45" spans="1:20">
      <c r="B45" s="1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"/>
      <c r="P45" s="1"/>
      <c r="Q45" s="1"/>
      <c r="R45" s="1"/>
      <c r="S45" s="1"/>
      <c r="T45" s="1"/>
    </row>
    <row r="46" spans="1:20" ht="15" customHeight="1">
      <c r="A46" s="74" t="s">
        <v>203</v>
      </c>
      <c r="B46" s="13" t="s">
        <v>38</v>
      </c>
      <c r="C46" s="30">
        <f>Reorganized!B60/Reorganized!B$6</f>
        <v>0.22194486404833838</v>
      </c>
      <c r="D46" s="30">
        <f>Reorganized!C60/Reorganized!C$6</f>
        <v>8.7228996158343078E-2</v>
      </c>
      <c r="E46" s="30">
        <f>Reorganized!D60/Reorganized!D$6</f>
        <v>8.8916797488226076E-2</v>
      </c>
      <c r="F46" s="30">
        <f>Reorganized!E60/Reorganized!E$6</f>
        <v>7.9277956249043907E-2</v>
      </c>
      <c r="G46" s="30">
        <f>Reorganized!F60/Reorganized!F$6</f>
        <v>6.1256811266010888E-2</v>
      </c>
      <c r="H46" s="30">
        <f>Reorganized!G60/Reorganized!G$6</f>
        <v>1.9557945922051134E-2</v>
      </c>
      <c r="I46" s="20">
        <f t="shared" si="11"/>
        <v>1.9557945922051134E-2</v>
      </c>
      <c r="J46" s="20">
        <f t="shared" si="11"/>
        <v>1.9557945922051134E-2</v>
      </c>
      <c r="K46" s="20">
        <f t="shared" si="11"/>
        <v>1.9557945922051134E-2</v>
      </c>
      <c r="L46" s="20">
        <f t="shared" si="11"/>
        <v>1.9557945922051134E-2</v>
      </c>
      <c r="M46" s="20">
        <f t="shared" si="11"/>
        <v>1.9557945922051134E-2</v>
      </c>
      <c r="N46" s="20">
        <f t="shared" si="11"/>
        <v>1.9557945922051134E-2</v>
      </c>
      <c r="O46" s="1"/>
      <c r="P46" s="1"/>
      <c r="Q46" s="1"/>
      <c r="R46" s="1"/>
      <c r="S46" s="1"/>
      <c r="T46" s="1"/>
    </row>
    <row r="47" spans="1:20">
      <c r="A47" s="74"/>
      <c r="B47" s="13" t="s">
        <v>118</v>
      </c>
      <c r="C47" s="30">
        <f>Reorganized!B61/Reorganized!B$6</f>
        <v>7.2696374622356494E-2</v>
      </c>
      <c r="D47" s="30">
        <f>Reorganized!C61/Reorganized!C$6</f>
        <v>0.11391347920494405</v>
      </c>
      <c r="E47" s="30">
        <f>Reorganized!D61/Reorganized!D$6</f>
        <v>0.11899529042386185</v>
      </c>
      <c r="F47" s="30">
        <f>Reorganized!E61/Reorganized!E$6</f>
        <v>0.13377696190913263</v>
      </c>
      <c r="G47" s="30">
        <f>Reorganized!F61/Reorganized!F$6</f>
        <v>0.16538107706460972</v>
      </c>
      <c r="H47" s="30">
        <f>Reorganized!G61/Reorganized!G$6</f>
        <v>0.16562292787150962</v>
      </c>
      <c r="I47" s="20">
        <f t="shared" si="11"/>
        <v>0.16562292787150962</v>
      </c>
      <c r="J47" s="20">
        <f t="shared" si="11"/>
        <v>0.16562292787150962</v>
      </c>
      <c r="K47" s="20">
        <f t="shared" si="11"/>
        <v>0.16562292787150962</v>
      </c>
      <c r="L47" s="20">
        <f t="shared" si="11"/>
        <v>0.16562292787150962</v>
      </c>
      <c r="M47" s="20">
        <f t="shared" si="11"/>
        <v>0.16562292787150962</v>
      </c>
      <c r="N47" s="20">
        <f t="shared" si="11"/>
        <v>0.16562292787150962</v>
      </c>
      <c r="O47" s="1"/>
      <c r="P47" s="1"/>
      <c r="Q47" s="1"/>
      <c r="R47" s="1"/>
      <c r="S47" s="1"/>
      <c r="T47" s="1"/>
    </row>
    <row r="48" spans="1:20">
      <c r="A48" s="74"/>
      <c r="B48" s="13" t="s">
        <v>64</v>
      </c>
      <c r="C48" s="30">
        <f>Reorganized!B62/Reorganized!B$6</f>
        <v>0</v>
      </c>
      <c r="D48" s="30">
        <f>Reorganized!C62/Reorganized!C$6</f>
        <v>1.8623684650075162E-2</v>
      </c>
      <c r="E48" s="30">
        <f>Reorganized!D62/Reorganized!D$6</f>
        <v>8.1632653061224497E-3</v>
      </c>
      <c r="F48" s="30">
        <f>Reorganized!E62/Reorganized!E$6</f>
        <v>5.1246749273366988E-3</v>
      </c>
      <c r="G48" s="30">
        <f>Reorganized!F62/Reorganized!F$6</f>
        <v>2.8306560045290494E-4</v>
      </c>
      <c r="H48" s="30">
        <f>Reorganized!G62/Reorganized!G$6</f>
        <v>1.0314595152140279E-3</v>
      </c>
      <c r="I48" s="20">
        <f t="shared" si="11"/>
        <v>1.0314595152140279E-3</v>
      </c>
      <c r="J48" s="20">
        <f t="shared" si="11"/>
        <v>1.0314595152140279E-3</v>
      </c>
      <c r="K48" s="20">
        <f t="shared" si="11"/>
        <v>1.0314595152140279E-3</v>
      </c>
      <c r="L48" s="20">
        <f t="shared" si="11"/>
        <v>1.0314595152140279E-3</v>
      </c>
      <c r="M48" s="20">
        <f t="shared" si="11"/>
        <v>1.0314595152140279E-3</v>
      </c>
      <c r="N48" s="20">
        <f t="shared" si="11"/>
        <v>1.0314595152140279E-3</v>
      </c>
      <c r="O48" s="1"/>
      <c r="P48" s="1"/>
      <c r="Q48" s="1"/>
      <c r="R48" s="1"/>
      <c r="S48" s="1"/>
      <c r="T48" s="1"/>
    </row>
    <row r="49" spans="1:20">
      <c r="A49" s="74"/>
      <c r="B49" s="14" t="s">
        <v>0</v>
      </c>
      <c r="C49" s="30">
        <f>Reorganized!B63/Reorganized!B$6</f>
        <v>0</v>
      </c>
      <c r="D49" s="30">
        <f>Reorganized!C63/Reorganized!C$6</f>
        <v>-4.927342575580424E-3</v>
      </c>
      <c r="E49" s="30">
        <f>Reorganized!D63/Reorganized!D$6</f>
        <v>-6.2794348508634224E-4</v>
      </c>
      <c r="F49" s="30">
        <f>Reorganized!E63/Reorganized!E$6</f>
        <v>-7.6487685482637294E-4</v>
      </c>
      <c r="G49" s="30">
        <f>Reorganized!F63/Reorganized!F$6</f>
        <v>-6.3689760101903617E-4</v>
      </c>
      <c r="H49" s="30">
        <f>Reorganized!G63/Reorganized!G$6</f>
        <v>-1.4735135931628969E-3</v>
      </c>
      <c r="I49" s="20">
        <f t="shared" si="11"/>
        <v>-1.4735135931628969E-3</v>
      </c>
      <c r="J49" s="20">
        <f t="shared" si="11"/>
        <v>-1.4735135931628969E-3</v>
      </c>
      <c r="K49" s="20">
        <f t="shared" si="11"/>
        <v>-1.4735135931628969E-3</v>
      </c>
      <c r="L49" s="20">
        <f t="shared" si="11"/>
        <v>-1.4735135931628969E-3</v>
      </c>
      <c r="M49" s="20">
        <f t="shared" si="11"/>
        <v>-1.4735135931628969E-3</v>
      </c>
      <c r="N49" s="20">
        <f t="shared" si="11"/>
        <v>-1.4735135931628969E-3</v>
      </c>
      <c r="O49" s="1"/>
      <c r="P49" s="1"/>
      <c r="Q49" s="1"/>
      <c r="R49" s="1"/>
      <c r="S49" s="1"/>
      <c r="T49" s="1"/>
    </row>
    <row r="50" spans="1:20" ht="15.75" thickBot="1">
      <c r="A50" s="74"/>
      <c r="B50" s="33" t="s">
        <v>133</v>
      </c>
      <c r="C50" s="36">
        <f>Reorganized!B64/Reorganized!B$6</f>
        <v>0.29464123867069486</v>
      </c>
      <c r="D50" s="36">
        <f>Reorganized!C64/Reorganized!C$6</f>
        <v>0.21483881743778185</v>
      </c>
      <c r="E50" s="36">
        <f>Reorganized!D64/Reorganized!D$6</f>
        <v>0.21544740973312404</v>
      </c>
      <c r="F50" s="36">
        <f>Reorganized!E64/Reorganized!E$6</f>
        <v>0.21741471623068687</v>
      </c>
      <c r="G50" s="36">
        <f>Reorganized!F64/Reorganized!F$6</f>
        <v>0.22628405633005449</v>
      </c>
      <c r="H50" s="36">
        <f>Reorganized!G64/Reorganized!G$6</f>
        <v>0.18473881971561187</v>
      </c>
      <c r="I50" s="36">
        <f>Reorganized!H64/Reorganized!H$6</f>
        <v>0.1847388197156119</v>
      </c>
      <c r="J50" s="36">
        <f>Reorganized!I64/Reorganized!I$6</f>
        <v>0.18473881971561182</v>
      </c>
      <c r="K50" s="36">
        <f>Reorganized!J64/Reorganized!J$6</f>
        <v>0.18473881971561185</v>
      </c>
      <c r="L50" s="36">
        <f>Reorganized!K64/Reorganized!K$6</f>
        <v>0.18473881971561187</v>
      </c>
      <c r="M50" s="36">
        <f>Reorganized!L64/Reorganized!L$6</f>
        <v>0.18473881971561193</v>
      </c>
      <c r="N50" s="36">
        <f>Reorganized!M64/Reorganized!M$6</f>
        <v>0.1847388197156119</v>
      </c>
      <c r="O50" s="1"/>
      <c r="P50" s="1"/>
      <c r="Q50" s="1"/>
      <c r="R50" s="1"/>
      <c r="S50" s="1"/>
      <c r="T50" s="1"/>
    </row>
    <row r="51" spans="1:20" ht="15.75" thickTop="1">
      <c r="A51" s="74"/>
      <c r="B51" s="13"/>
      <c r="C51" s="30"/>
      <c r="D51" s="30"/>
      <c r="E51" s="30"/>
      <c r="F51" s="30"/>
      <c r="G51" s="30"/>
      <c r="H51" s="30"/>
      <c r="I51" s="17"/>
      <c r="J51" s="17"/>
      <c r="K51" s="17"/>
      <c r="L51" s="17"/>
      <c r="M51" s="17"/>
      <c r="N51" s="17"/>
      <c r="O51" s="1"/>
      <c r="P51" s="1"/>
      <c r="Q51" s="1"/>
      <c r="R51" s="1"/>
      <c r="S51" s="1"/>
      <c r="T51" s="1"/>
    </row>
    <row r="52" spans="1:20">
      <c r="A52" s="74"/>
      <c r="B52" s="13" t="s">
        <v>39</v>
      </c>
      <c r="C52" s="30">
        <f>Reorganized!B66/Reorganized!B$6</f>
        <v>0.42994712990936557</v>
      </c>
      <c r="D52" s="57">
        <f>Reorganized!C66</f>
        <v>5660</v>
      </c>
      <c r="E52" s="57">
        <f>Reorganized!D66</f>
        <v>5487</v>
      </c>
      <c r="F52" s="57">
        <f>Reorganized!E66</f>
        <v>4940</v>
      </c>
      <c r="G52" s="57">
        <f>Reorganized!F66</f>
        <v>8392</v>
      </c>
      <c r="H52" s="57">
        <f>Reorganized!G66</f>
        <v>8218</v>
      </c>
      <c r="I52" s="58">
        <f>Reorganized!H66</f>
        <v>8218</v>
      </c>
      <c r="J52" s="58">
        <f>Reorganized!I66</f>
        <v>8218</v>
      </c>
      <c r="K52" s="58">
        <f>Reorganized!J66</f>
        <v>8218</v>
      </c>
      <c r="L52" s="58">
        <f>Reorganized!K66</f>
        <v>8218</v>
      </c>
      <c r="M52" s="58">
        <f>Reorganized!L66</f>
        <v>8218</v>
      </c>
      <c r="N52" s="58">
        <f>Reorganized!M66</f>
        <v>8218</v>
      </c>
      <c r="O52" s="1"/>
      <c r="P52" s="1"/>
      <c r="Q52" s="1"/>
      <c r="R52" s="1"/>
      <c r="S52" s="1"/>
      <c r="T52" s="1"/>
    </row>
    <row r="53" spans="1:20" ht="15.75" thickBot="1">
      <c r="A53" s="74"/>
      <c r="B53" s="53" t="s">
        <v>134</v>
      </c>
      <c r="C53" s="36">
        <f>Reorganized!B67/Reorganized!B$6</f>
        <v>0.72458836858006048</v>
      </c>
      <c r="D53" s="36">
        <f>Reorganized!C67/Reorganized!C$6</f>
        <v>0.68752964756973434</v>
      </c>
      <c r="E53" s="36">
        <f>Reorganized!D67/Reorganized!D$6</f>
        <v>0.64613814756671895</v>
      </c>
      <c r="F53" s="36">
        <f>Reorganized!E67/Reorganized!E$6</f>
        <v>0.59526388251491502</v>
      </c>
      <c r="G53" s="36">
        <f>Reorganized!F67/Reorganized!F$6</f>
        <v>0.82015568608024902</v>
      </c>
      <c r="H53" s="36">
        <f>Reorganized!G67/Reorganized!G$6</f>
        <v>0.79020555514624613</v>
      </c>
      <c r="I53" s="36">
        <f>Reorganized!H67/Reorganized!H$6</f>
        <v>0.75593385314073858</v>
      </c>
      <c r="J53" s="36">
        <f>Reorganized!I67/Reorganized!I$6</f>
        <v>0.73661807906356036</v>
      </c>
      <c r="K53" s="36">
        <f>Reorganized!J67/Reorganized!J$6</f>
        <v>0.71795549541411285</v>
      </c>
      <c r="L53" s="36">
        <f>Reorganized!K67/Reorganized!K$6</f>
        <v>0.69744716173340138</v>
      </c>
      <c r="M53" s="36">
        <f>Reorganized!L67/Reorganized!L$6</f>
        <v>0.67772761011733251</v>
      </c>
      <c r="N53" s="36">
        <f>Reorganized!M67/Reorganized!M$6</f>
        <v>0.66336871330951541</v>
      </c>
      <c r="O53" s="1"/>
      <c r="P53" s="1"/>
      <c r="Q53" s="1"/>
      <c r="R53" s="1"/>
      <c r="S53" s="1"/>
      <c r="T53" s="1"/>
    </row>
    <row r="54" spans="1:20" ht="15.75" thickTop="1">
      <c r="A54" s="72"/>
      <c r="B54" s="13"/>
      <c r="O54" s="1"/>
      <c r="P54" s="1"/>
      <c r="Q54" s="1"/>
      <c r="R54" s="1"/>
      <c r="S54" s="1"/>
      <c r="T54" s="1"/>
    </row>
    <row r="55" spans="1:20">
      <c r="A55" s="72"/>
    </row>
    <row r="56" spans="1:20">
      <c r="A56" s="72"/>
      <c r="B56" s="2" t="s">
        <v>189</v>
      </c>
    </row>
    <row r="57" spans="1:20">
      <c r="A57" s="72"/>
      <c r="B57" s="1" t="s">
        <v>188</v>
      </c>
      <c r="D57" s="30">
        <f>Supplemental!K19/Financials!B6</f>
        <v>2.3791540785498489E-2</v>
      </c>
      <c r="E57" s="30">
        <f>Supplemental!L19/Financials!C6</f>
        <v>2.3300484382829462E-2</v>
      </c>
      <c r="F57" s="30">
        <f>Supplemental!M19/Financials!D6</f>
        <v>2.2135007849293564E-2</v>
      </c>
      <c r="G57" s="30">
        <f>Supplemental!N19/Financials!E6</f>
        <v>2.1340064249655805E-2</v>
      </c>
      <c r="H57" s="30">
        <f>Supplemental!O19/Financials!F6</f>
        <v>2.1088387233741419E-2</v>
      </c>
      <c r="I57" s="19">
        <f>H57</f>
        <v>2.1088387233741419E-2</v>
      </c>
      <c r="J57" s="19">
        <f t="shared" ref="J57:N57" si="12">I57</f>
        <v>2.1088387233741419E-2</v>
      </c>
      <c r="K57" s="19">
        <f t="shared" si="12"/>
        <v>2.1088387233741419E-2</v>
      </c>
      <c r="L57" s="19">
        <f t="shared" si="12"/>
        <v>2.1088387233741419E-2</v>
      </c>
      <c r="M57" s="19">
        <f t="shared" si="12"/>
        <v>2.1088387233741419E-2</v>
      </c>
      <c r="N57" s="19">
        <f t="shared" si="12"/>
        <v>2.1088387233741419E-2</v>
      </c>
    </row>
  </sheetData>
  <mergeCells count="5">
    <mergeCell ref="A46:A53"/>
    <mergeCell ref="I3:N3"/>
    <mergeCell ref="I30:N30"/>
    <mergeCell ref="A6:A15"/>
    <mergeCell ref="A33:A44"/>
  </mergeCells>
  <pageMargins left="0.7" right="0.7" top="0.75" bottom="0.75" header="0.3" footer="0.3"/>
  <pageSetup scale="70" orientation="landscape" r:id="rId1"/>
  <headerFooter>
    <oddHeader>&amp;C&amp;"Calibri,Bold"&amp;12Henkel AG
Forecast Ratios</oddHeader>
  </headerFooter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N65"/>
  <sheetViews>
    <sheetView zoomScale="85" zoomScaleNormal="85" workbookViewId="0">
      <selection activeCell="A2" sqref="A2"/>
    </sheetView>
  </sheetViews>
  <sheetFormatPr defaultRowHeight="15"/>
  <cols>
    <col min="1" max="1" width="38" style="1" customWidth="1"/>
    <col min="2" max="16384" width="9.140625" style="1"/>
  </cols>
  <sheetData>
    <row r="1" spans="1:14">
      <c r="K1"/>
      <c r="L1"/>
      <c r="M1"/>
      <c r="N1"/>
    </row>
    <row r="2" spans="1:14">
      <c r="A2" s="2" t="str">
        <f>company_name</f>
        <v>Henkel AG</v>
      </c>
      <c r="K2"/>
      <c r="L2"/>
      <c r="M2"/>
      <c r="N2"/>
    </row>
    <row r="3" spans="1:14">
      <c r="A3" s="1" t="s">
        <v>132</v>
      </c>
      <c r="G3" s="73" t="s">
        <v>135</v>
      </c>
      <c r="H3" s="73"/>
      <c r="I3" s="73"/>
      <c r="J3" s="73"/>
      <c r="K3" s="73"/>
    </row>
    <row r="5" spans="1:14">
      <c r="A5" s="3" t="str">
        <f>currency</f>
        <v>EUR millions</v>
      </c>
      <c r="B5" s="3">
        <f>Reorganized!C5</f>
        <v>2005</v>
      </c>
      <c r="C5" s="3">
        <f>Reorganized!D5</f>
        <v>2006</v>
      </c>
      <c r="D5" s="3">
        <f>Reorganized!E5</f>
        <v>2007</v>
      </c>
      <c r="E5" s="3">
        <f>Reorganized!F5</f>
        <v>2008</v>
      </c>
      <c r="F5" s="3">
        <f>Reorganized!G5</f>
        <v>2009</v>
      </c>
      <c r="G5" s="3">
        <f>Reorganized!H5</f>
        <v>2010</v>
      </c>
      <c r="H5" s="3">
        <f>Reorganized!I5</f>
        <v>2011</v>
      </c>
      <c r="I5" s="3">
        <f>Reorganized!J5</f>
        <v>2012</v>
      </c>
      <c r="J5" s="3">
        <f>Reorganized!K5</f>
        <v>2013</v>
      </c>
      <c r="K5" s="3">
        <f>Reorganized!L5</f>
        <v>2014</v>
      </c>
    </row>
    <row r="6" spans="1:14">
      <c r="A6" s="1" t="s">
        <v>157</v>
      </c>
      <c r="B6" s="8">
        <f>Reorganized!C18</f>
        <v>861.96545105566224</v>
      </c>
      <c r="C6" s="8">
        <f>Reorganized!D18</f>
        <v>884.02891156462579</v>
      </c>
      <c r="D6" s="8">
        <f>Reorganized!E18</f>
        <v>971.8</v>
      </c>
      <c r="E6" s="8">
        <f>Reorganized!F18</f>
        <v>1056.1893054701904</v>
      </c>
      <c r="F6" s="8">
        <f>Reorganized!G18</f>
        <v>999.93446327683614</v>
      </c>
      <c r="G6" s="8">
        <f>Reorganized!H18</f>
        <v>1059.9305310734467</v>
      </c>
      <c r="H6" s="8">
        <f>Reorganized!I18</f>
        <v>1097.0280996610177</v>
      </c>
      <c r="I6" s="8">
        <f>Reorganized!J18</f>
        <v>1135.4240831491529</v>
      </c>
      <c r="J6" s="8">
        <f>Reorganized!K18</f>
        <v>1180.8410464751194</v>
      </c>
      <c r="K6" s="8">
        <f>Reorganized!L18</f>
        <v>1228.0746883341237</v>
      </c>
    </row>
    <row r="7" spans="1:14">
      <c r="A7" s="6" t="s">
        <v>158</v>
      </c>
      <c r="B7" s="22">
        <f>Supplemental!L19</f>
        <v>279</v>
      </c>
      <c r="C7" s="22">
        <f>Supplemental!M19</f>
        <v>282</v>
      </c>
      <c r="D7" s="22">
        <f>Supplemental!N19</f>
        <v>279</v>
      </c>
      <c r="E7" s="22">
        <f>Supplemental!O19</f>
        <v>298</v>
      </c>
      <c r="F7" s="22">
        <f>Supplemental!P19</f>
        <v>308</v>
      </c>
      <c r="G7" s="22">
        <f>Forecasts!I57*Reorganized!H6</f>
        <v>303.40664071898664</v>
      </c>
      <c r="H7" s="22">
        <f>Forecasts!J57*Reorganized!I6</f>
        <v>314.02587314415115</v>
      </c>
      <c r="I7" s="22">
        <f>Forecasts!K57*Reorganized!J6</f>
        <v>325.01677870419644</v>
      </c>
      <c r="J7" s="22">
        <f>Forecasts!L57*Reorganized!K6</f>
        <v>338.01744985236428</v>
      </c>
      <c r="K7" s="22">
        <f>Forecasts!M57*Reorganized!L6</f>
        <v>351.53814784645886</v>
      </c>
    </row>
    <row r="8" spans="1:14">
      <c r="A8" s="1" t="s">
        <v>167</v>
      </c>
      <c r="B8" s="8">
        <f>SUM(B6:B7)</f>
        <v>1140.9654510556622</v>
      </c>
      <c r="C8" s="8">
        <f>SUM(C6:C7)</f>
        <v>1166.0289115646258</v>
      </c>
      <c r="D8" s="8">
        <f>SUM(D6:D7)</f>
        <v>1250.8</v>
      </c>
      <c r="E8" s="8">
        <f>SUM(E6:E7)</f>
        <v>1354.1893054701904</v>
      </c>
      <c r="F8" s="8">
        <f>SUM(F6:F7)</f>
        <v>1307.9344632768361</v>
      </c>
      <c r="G8" s="8">
        <f t="shared" ref="G8:K8" si="0">SUM(G6:G7)</f>
        <v>1363.3371717924333</v>
      </c>
      <c r="H8" s="8">
        <f t="shared" si="0"/>
        <v>1411.0539728051688</v>
      </c>
      <c r="I8" s="8">
        <f t="shared" si="0"/>
        <v>1460.4408618533494</v>
      </c>
      <c r="J8" s="8">
        <f t="shared" si="0"/>
        <v>1518.8584963274836</v>
      </c>
      <c r="K8" s="8">
        <f t="shared" si="0"/>
        <v>1579.6128361805827</v>
      </c>
    </row>
    <row r="9" spans="1:14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4">
      <c r="A10" s="2" t="s">
        <v>159</v>
      </c>
    </row>
    <row r="11" spans="1:14">
      <c r="A11" s="1" t="s">
        <v>38</v>
      </c>
      <c r="B11" s="8">
        <f>Reorganized!B60-Reorganized!C60</f>
        <v>1306.3600000000001</v>
      </c>
      <c r="C11" s="8">
        <f>Reorganized!C60-Reorganized!D60</f>
        <v>-88.320000000000164</v>
      </c>
      <c r="D11" s="8">
        <f>Reorganized!D60-Reorganized!E60</f>
        <v>96.320000000000164</v>
      </c>
      <c r="E11" s="8">
        <f>Reorganized!E60-Reorganized!F60</f>
        <v>170.86000000000013</v>
      </c>
      <c r="F11" s="8">
        <f>Reorganized!F60-Reorganized!G60</f>
        <v>600.15999999999985</v>
      </c>
      <c r="G11" s="8">
        <f>Reorganized!G60-Reorganized!H60</f>
        <v>-15.927599999999984</v>
      </c>
      <c r="H11" s="8">
        <f>Reorganized!H60-Reorganized!I60</f>
        <v>-9.8485659999992095</v>
      </c>
      <c r="I11" s="8">
        <f>Reorganized!I60-Reorganized!J60</f>
        <v>-10.193265809999957</v>
      </c>
      <c r="J11" s="8">
        <f>Reorganized!J60-Reorganized!K60</f>
        <v>-12.057177272400622</v>
      </c>
      <c r="K11" s="8">
        <f>Reorganized!K60-Reorganized!L60</f>
        <v>-12.539464363296702</v>
      </c>
    </row>
    <row r="12" spans="1:14" ht="17.25">
      <c r="A12" s="1" t="s">
        <v>194</v>
      </c>
      <c r="B12" s="8">
        <f>Reorganized!B61-Reorganized!C61-B7</f>
        <v>-873</v>
      </c>
      <c r="C12" s="8">
        <f>Reorganized!C61-Reorganized!D61-C7</f>
        <v>-434</v>
      </c>
      <c r="D12" s="8">
        <f>Reorganized!D61-Reorganized!E61-D7</f>
        <v>-512</v>
      </c>
      <c r="E12" s="8">
        <f>Reorganized!E61-Reorganized!F61-E7</f>
        <v>-886</v>
      </c>
      <c r="F12" s="8">
        <f>Reorganized!F61-Reorganized!G61-F7</f>
        <v>-219</v>
      </c>
      <c r="G12" s="8">
        <f>Reorganized!G61-Reorganized!H61-G7</f>
        <v>-438.28664071898675</v>
      </c>
      <c r="H12" s="8">
        <f>Reorganized!H61-Reorganized!I61-H7</f>
        <v>-397.42667314415104</v>
      </c>
      <c r="I12" s="8">
        <f>Reorganized!I61-Reorganized!J61-I7</f>
        <v>-411.33660670419658</v>
      </c>
      <c r="J12" s="8">
        <f>Reorganized!J61-Reorganized!K61-J7</f>
        <v>-440.12147497236401</v>
      </c>
      <c r="K12" s="8">
        <f>Reorganized!K61-Reorganized!L61-K7</f>
        <v>-457.72633397125912</v>
      </c>
    </row>
    <row r="13" spans="1:14">
      <c r="A13" s="1" t="s">
        <v>64</v>
      </c>
      <c r="B13" s="8">
        <f>Reorganized!B62-Reorganized!C62</f>
        <v>-223</v>
      </c>
      <c r="C13" s="8">
        <f>Reorganized!C62-Reorganized!D62</f>
        <v>119</v>
      </c>
      <c r="D13" s="8">
        <f>Reorganized!D62-Reorganized!E62</f>
        <v>37</v>
      </c>
      <c r="E13" s="8">
        <f>Reorganized!E62-Reorganized!F62</f>
        <v>63</v>
      </c>
      <c r="F13" s="8">
        <f>Reorganized!F62-Reorganized!G62</f>
        <v>-10</v>
      </c>
      <c r="G13" s="8">
        <f>Reorganized!G62-Reorganized!H62</f>
        <v>-0.84000000000000163</v>
      </c>
      <c r="H13" s="8">
        <f>Reorganized!H62-Reorganized!I62</f>
        <v>-0.5193999999999992</v>
      </c>
      <c r="I13" s="8">
        <f>Reorganized!I62-Reorganized!J62</f>
        <v>-0.53757899999999914</v>
      </c>
      <c r="J13" s="8">
        <f>Reorganized!J62-Reorganized!K62</f>
        <v>-0.63587916</v>
      </c>
      <c r="K13" s="8">
        <f>Reorganized!K62-Reorganized!L62</f>
        <v>-0.66131432639999943</v>
      </c>
    </row>
    <row r="14" spans="1:14">
      <c r="A14" s="1" t="s">
        <v>0</v>
      </c>
      <c r="B14" s="8">
        <f>Reorganized!B63-Reorganized!C63</f>
        <v>59</v>
      </c>
      <c r="C14" s="8">
        <f>Reorganized!C63-Reorganized!D63</f>
        <v>-51</v>
      </c>
      <c r="D14" s="8">
        <f>Reorganized!D63-Reorganized!E63</f>
        <v>2</v>
      </c>
      <c r="E14" s="8">
        <f>Reorganized!E63-Reorganized!F63</f>
        <v>-1</v>
      </c>
      <c r="F14" s="8">
        <f>Reorganized!F63-Reorganized!G63</f>
        <v>11</v>
      </c>
      <c r="G14" s="8">
        <f>Reorganized!G63-Reorganized!H63</f>
        <v>1.2000000000000028</v>
      </c>
      <c r="H14" s="8">
        <f>Reorganized!H63-Reorganized!I63</f>
        <v>0.74199999999999733</v>
      </c>
      <c r="I14" s="8">
        <f>Reorganized!I63-Reorganized!J63</f>
        <v>0.76796999999999827</v>
      </c>
      <c r="J14" s="8">
        <f>Reorganized!J63-Reorganized!K63</f>
        <v>0.90839880000000051</v>
      </c>
      <c r="K14" s="8">
        <f>Reorganized!K63-Reorganized!L63</f>
        <v>0.94473475199999868</v>
      </c>
    </row>
    <row r="15" spans="1:14" ht="17.25">
      <c r="A15" s="1" t="s">
        <v>190</v>
      </c>
      <c r="B15" s="8">
        <f>Reorganized!B66-Reorganized!C66-Reorganized!C38</f>
        <v>-1135.3905950095968</v>
      </c>
      <c r="C15" s="8">
        <f>Reorganized!C66-Reorganized!D66-Reorganized!D38</f>
        <v>141.18197278911563</v>
      </c>
      <c r="D15" s="8">
        <f>Reorganized!D66-Reorganized!E66-Reorganized!E38</f>
        <v>513.4</v>
      </c>
      <c r="E15" s="8">
        <f>Reorganized!E66-Reorganized!F66-Reorganized!F38</f>
        <v>-3517.5716041794713</v>
      </c>
      <c r="F15" s="8">
        <f>Reorganized!F66-Reorganized!G66-Reorganized!G38</f>
        <v>99.437288135593235</v>
      </c>
      <c r="G15" s="8">
        <f>Reorganized!G66-Reorganized!H66-Reorganized!H38</f>
        <v>0</v>
      </c>
      <c r="H15" s="8">
        <f>Reorganized!H66-Reorganized!I66-Reorganized!I38</f>
        <v>0</v>
      </c>
      <c r="I15" s="8">
        <f>Reorganized!I66-Reorganized!J66-Reorganized!J38</f>
        <v>0</v>
      </c>
      <c r="J15" s="8">
        <f>Reorganized!J66-Reorganized!K66-Reorganized!K38</f>
        <v>0</v>
      </c>
      <c r="K15" s="8">
        <f>Reorganized!K66-Reorganized!L66-Reorganized!L38</f>
        <v>0</v>
      </c>
    </row>
    <row r="16" spans="1:14" ht="15.75" thickBot="1">
      <c r="A16" s="15" t="s">
        <v>160</v>
      </c>
      <c r="B16" s="16">
        <f>SUM(B8:B15)</f>
        <v>274.93485604606576</v>
      </c>
      <c r="C16" s="16">
        <f>SUM(C8:C15)</f>
        <v>852.89088435374128</v>
      </c>
      <c r="D16" s="16">
        <f>SUM(D8:D15)</f>
        <v>1387.52</v>
      </c>
      <c r="E16" s="16">
        <f>SUM(E8:E15)</f>
        <v>-2816.5222987092807</v>
      </c>
      <c r="F16" s="16">
        <f>SUM(F8:F15)</f>
        <v>1789.5317514124292</v>
      </c>
      <c r="G16" s="16">
        <f t="shared" ref="G16:K16" si="1">SUM(G8:G15)</f>
        <v>909.48293107344659</v>
      </c>
      <c r="H16" s="16">
        <f t="shared" si="1"/>
        <v>1004.0013336610185</v>
      </c>
      <c r="I16" s="16">
        <f t="shared" si="1"/>
        <v>1039.1413803391529</v>
      </c>
      <c r="J16" s="16">
        <f t="shared" si="1"/>
        <v>1066.9523637227189</v>
      </c>
      <c r="K16" s="16">
        <f t="shared" si="1"/>
        <v>1109.6304582716268</v>
      </c>
    </row>
    <row r="17" spans="1:11" ht="15.75" thickTop="1"/>
    <row r="18" spans="1:11" ht="17.25">
      <c r="A18" s="61" t="s">
        <v>195</v>
      </c>
    </row>
    <row r="19" spans="1:11">
      <c r="A19" s="61"/>
    </row>
    <row r="20" spans="1:11">
      <c r="A20" s="61"/>
    </row>
    <row r="21" spans="1:11">
      <c r="A21" s="2" t="str">
        <f>company_name</f>
        <v>Henkel AG</v>
      </c>
      <c r="B21" s="8"/>
      <c r="C21" s="8"/>
      <c r="D21" s="8"/>
      <c r="E21" s="8"/>
      <c r="F21" s="8"/>
    </row>
    <row r="22" spans="1:11">
      <c r="A22" s="1" t="s">
        <v>169</v>
      </c>
      <c r="G22"/>
      <c r="H22"/>
      <c r="I22"/>
      <c r="J22"/>
      <c r="K22"/>
    </row>
    <row r="23" spans="1:11">
      <c r="G23"/>
      <c r="H23"/>
      <c r="I23"/>
      <c r="J23"/>
      <c r="K23"/>
    </row>
    <row r="24" spans="1:11">
      <c r="A24" s="3" t="str">
        <f>currency</f>
        <v>EUR millions</v>
      </c>
      <c r="B24" s="3">
        <f>B5</f>
        <v>2005</v>
      </c>
      <c r="C24" s="3">
        <f t="shared" ref="C24:F24" si="2">C5</f>
        <v>2006</v>
      </c>
      <c r="D24" s="3">
        <f t="shared" si="2"/>
        <v>2007</v>
      </c>
      <c r="E24" s="3">
        <f t="shared" si="2"/>
        <v>2008</v>
      </c>
      <c r="F24" s="3">
        <f t="shared" si="2"/>
        <v>2009</v>
      </c>
      <c r="G24"/>
      <c r="H24"/>
      <c r="I24"/>
      <c r="J24"/>
      <c r="K24"/>
    </row>
    <row r="25" spans="1:11">
      <c r="A25" s="1" t="s">
        <v>160</v>
      </c>
      <c r="B25" s="8">
        <f>B16</f>
        <v>274.93485604606576</v>
      </c>
      <c r="C25" s="8">
        <f t="shared" ref="C25:F25" si="3">C16</f>
        <v>852.89088435374128</v>
      </c>
      <c r="D25" s="8">
        <f t="shared" si="3"/>
        <v>1387.52</v>
      </c>
      <c r="E25" s="8">
        <f t="shared" si="3"/>
        <v>-2816.5222987092807</v>
      </c>
      <c r="F25" s="8">
        <f t="shared" si="3"/>
        <v>1789.5317514124292</v>
      </c>
      <c r="G25"/>
      <c r="H25"/>
      <c r="I25"/>
      <c r="J25"/>
      <c r="K25"/>
    </row>
    <row r="26" spans="1:11">
      <c r="A26" s="1" t="s">
        <v>100</v>
      </c>
      <c r="B26" s="8">
        <f>-Reorganized!C34</f>
        <v>0</v>
      </c>
      <c r="C26" s="8">
        <f>-Reorganized!D34</f>
        <v>0</v>
      </c>
      <c r="D26" s="8">
        <f>-Reorganized!E34</f>
        <v>0</v>
      </c>
      <c r="E26" s="8">
        <f>-Reorganized!F34</f>
        <v>-457.62077443146893</v>
      </c>
      <c r="F26" s="8">
        <f>-Reorganized!G34</f>
        <v>-109.77288135593218</v>
      </c>
      <c r="G26"/>
      <c r="H26"/>
      <c r="I26"/>
      <c r="J26"/>
      <c r="K26"/>
    </row>
    <row r="27" spans="1:11">
      <c r="A27" s="10" t="s">
        <v>143</v>
      </c>
      <c r="B27" s="8">
        <f>-Reorganized!C35</f>
        <v>-6.5978886756238007</v>
      </c>
      <c r="C27" s="8">
        <f>-Reorganized!D35</f>
        <v>54.030612244897966</v>
      </c>
      <c r="D27" s="8">
        <f>-Reorganized!E35</f>
        <v>-1.7999999999999998</v>
      </c>
      <c r="E27" s="8">
        <f>-Reorganized!F35</f>
        <v>0.69022741241548857</v>
      </c>
      <c r="F27" s="8">
        <f>-Reorganized!G35</f>
        <v>-37.971751412429377</v>
      </c>
      <c r="G27"/>
      <c r="H27"/>
      <c r="I27"/>
      <c r="J27"/>
      <c r="K27"/>
    </row>
    <row r="28" spans="1:11">
      <c r="A28" s="10" t="s">
        <v>69</v>
      </c>
      <c r="B28" s="8">
        <f>-Reorganized!C36</f>
        <v>53.982725527831093</v>
      </c>
      <c r="C28" s="8">
        <f>-Reorganized!D36</f>
        <v>32.41836734693878</v>
      </c>
      <c r="D28" s="8">
        <f>-Reorganized!E36</f>
        <v>50.4</v>
      </c>
      <c r="E28" s="8">
        <f>-Reorganized!F36</f>
        <v>775.1253841425937</v>
      </c>
      <c r="F28" s="8">
        <f>-Reorganized!G36</f>
        <v>-2.7615819209039545</v>
      </c>
      <c r="G28"/>
      <c r="H28"/>
      <c r="I28"/>
      <c r="J28"/>
      <c r="K28"/>
    </row>
    <row r="29" spans="1:11">
      <c r="A29" s="10" t="s">
        <v>34</v>
      </c>
      <c r="B29" s="8">
        <f>-Reorganized!C37</f>
        <v>-125.95969289827255</v>
      </c>
      <c r="C29" s="8">
        <f>-Reorganized!D37</f>
        <v>-105.65986394557824</v>
      </c>
      <c r="D29" s="8">
        <f>-Reorganized!E37</f>
        <v>-106.8</v>
      </c>
      <c r="E29" s="8">
        <f>-Reorganized!F37</f>
        <v>-189.81253841425936</v>
      </c>
      <c r="F29" s="8">
        <f>-Reorganized!G37</f>
        <v>-131.86553672316381</v>
      </c>
      <c r="G29"/>
      <c r="H29"/>
      <c r="I29"/>
      <c r="J29"/>
      <c r="K29"/>
    </row>
    <row r="30" spans="1:11">
      <c r="A30" s="10" t="s">
        <v>138</v>
      </c>
      <c r="B30" s="8">
        <f>-Reorganized!C33</f>
        <v>16</v>
      </c>
      <c r="C30" s="8">
        <f>-Reorganized!D33</f>
        <v>38</v>
      </c>
      <c r="D30" s="8">
        <f>-Reorganized!E33</f>
        <v>61</v>
      </c>
      <c r="E30" s="8">
        <f>-Reorganized!F33</f>
        <v>114</v>
      </c>
      <c r="F30" s="8">
        <f>-Reorganized!G33</f>
        <v>-15</v>
      </c>
      <c r="G30"/>
      <c r="H30"/>
      <c r="I30"/>
      <c r="J30"/>
      <c r="K30"/>
    </row>
    <row r="31" spans="1:11">
      <c r="G31"/>
      <c r="H31"/>
      <c r="I31"/>
      <c r="J31"/>
      <c r="K31"/>
    </row>
    <row r="32" spans="1:11">
      <c r="A32" s="2" t="s">
        <v>161</v>
      </c>
      <c r="G32"/>
      <c r="H32"/>
      <c r="I32"/>
      <c r="J32"/>
      <c r="K32"/>
    </row>
    <row r="33" spans="1:11">
      <c r="A33" s="1" t="s">
        <v>40</v>
      </c>
      <c r="B33" s="8">
        <f>Reorganized!B76-Reorganized!C76</f>
        <v>510.6400000000001</v>
      </c>
      <c r="C33" s="8">
        <f>Reorganized!C76-Reorganized!D76</f>
        <v>298.31999999999994</v>
      </c>
      <c r="D33" s="8">
        <f>Reorganized!D76-Reorganized!E76</f>
        <v>-504.31999999999994</v>
      </c>
      <c r="E33" s="8">
        <f>Reorganized!E76-Reorganized!F76</f>
        <v>1123.1399999999999</v>
      </c>
      <c r="F33" s="8">
        <f>Reorganized!F76-Reorganized!G76</f>
        <v>-783.16</v>
      </c>
      <c r="G33"/>
      <c r="H33"/>
      <c r="I33"/>
      <c r="J33"/>
      <c r="K33"/>
    </row>
    <row r="34" spans="1:11">
      <c r="A34" s="1" t="s">
        <v>62</v>
      </c>
      <c r="B34" s="8">
        <f>Reorganized!B77-Reorganized!C77</f>
        <v>-67</v>
      </c>
      <c r="C34" s="8">
        <f>Reorganized!C77-Reorganized!D77</f>
        <v>34</v>
      </c>
      <c r="D34" s="8">
        <f>Reorganized!D77-Reorganized!E77</f>
        <v>201</v>
      </c>
      <c r="E34" s="8">
        <f>Reorganized!E77-Reorganized!F77</f>
        <v>294</v>
      </c>
      <c r="F34" s="8">
        <f>Reorganized!F77-Reorganized!G77</f>
        <v>1</v>
      </c>
      <c r="G34"/>
      <c r="H34"/>
      <c r="I34"/>
      <c r="J34"/>
      <c r="K34"/>
    </row>
    <row r="35" spans="1:11">
      <c r="A35" s="1" t="s">
        <v>63</v>
      </c>
      <c r="B35" s="8">
        <f>Reorganized!B78-Reorganized!C78</f>
        <v>424</v>
      </c>
      <c r="C35" s="8">
        <f>Reorganized!C78-Reorganized!D78</f>
        <v>85</v>
      </c>
      <c r="D35" s="8">
        <f>Reorganized!D78-Reorganized!E78</f>
        <v>33</v>
      </c>
      <c r="E35" s="8">
        <f>Reorganized!E78-Reorganized!F78</f>
        <v>10</v>
      </c>
      <c r="F35" s="8">
        <f>Reorganized!F78-Reorganized!G78</f>
        <v>23</v>
      </c>
      <c r="G35"/>
      <c r="H35"/>
      <c r="I35"/>
      <c r="J35"/>
      <c r="K35"/>
    </row>
    <row r="36" spans="1:11">
      <c r="A36" s="1" t="s">
        <v>43</v>
      </c>
      <c r="B36" s="8">
        <f>Reorganized!B79-Reorganized!C79</f>
        <v>357</v>
      </c>
      <c r="C36" s="8">
        <f>Reorganized!C79-Reorganized!D79</f>
        <v>136</v>
      </c>
      <c r="D36" s="8">
        <f>Reorganized!D79-Reorganized!E79</f>
        <v>170</v>
      </c>
      <c r="E36" s="8">
        <f>Reorganized!E79-Reorganized!F79</f>
        <v>-50</v>
      </c>
      <c r="F36" s="8">
        <f>Reorganized!F79-Reorganized!G79</f>
        <v>84</v>
      </c>
      <c r="G36"/>
      <c r="H36"/>
      <c r="I36"/>
      <c r="J36"/>
      <c r="K36"/>
    </row>
    <row r="37" spans="1:11" ht="17.25">
      <c r="A37" s="1" t="s">
        <v>193</v>
      </c>
      <c r="B37" s="8">
        <f>Reorganized!C98-Reorganized!B98+Financials!C39</f>
        <v>457</v>
      </c>
      <c r="C37" s="8">
        <f>Reorganized!D98-Reorganized!C98+Financials!D39</f>
        <v>-596</v>
      </c>
      <c r="D37" s="8">
        <f>Reorganized!E98-Reorganized!D98+Financials!E39</f>
        <v>-568</v>
      </c>
      <c r="E37" s="8">
        <f>Reorganized!F98-Reorganized!E98+Financials!F39</f>
        <v>-161</v>
      </c>
      <c r="F37" s="8">
        <f>Reorganized!G98-Reorganized!F98+Financials!G39</f>
        <v>-398</v>
      </c>
      <c r="G37"/>
      <c r="H37"/>
      <c r="I37"/>
      <c r="J37"/>
      <c r="K37"/>
    </row>
    <row r="38" spans="1:11">
      <c r="A38" s="1" t="s">
        <v>61</v>
      </c>
      <c r="B38" s="8">
        <f>Reorganized!B81-Reorganized!C81</f>
        <v>-142</v>
      </c>
      <c r="C38" s="8">
        <f>Reorganized!C81-Reorganized!D81</f>
        <v>128</v>
      </c>
      <c r="D38" s="8">
        <f>Reorganized!D81-Reorganized!E81</f>
        <v>-111</v>
      </c>
      <c r="E38" s="8">
        <f>Reorganized!E81-Reorganized!F81</f>
        <v>12</v>
      </c>
      <c r="F38" s="8">
        <f>Reorganized!F81-Reorganized!G81</f>
        <v>83</v>
      </c>
      <c r="G38"/>
      <c r="H38"/>
      <c r="I38"/>
      <c r="J38"/>
      <c r="K38"/>
    </row>
    <row r="39" spans="1:11" ht="15.75" thickBot="1">
      <c r="A39" s="15" t="s">
        <v>168</v>
      </c>
      <c r="B39" s="16">
        <f>SUM(B25:B38)</f>
        <v>1752.0000000000005</v>
      </c>
      <c r="C39" s="16">
        <f>SUM(C25:C38)</f>
        <v>956.99999999999977</v>
      </c>
      <c r="D39" s="16">
        <f>SUM(D25:D38)</f>
        <v>611.00000000000023</v>
      </c>
      <c r="E39" s="16">
        <f>SUM(E25:E38)</f>
        <v>-1346</v>
      </c>
      <c r="F39" s="16">
        <f>SUM(F25:F38)</f>
        <v>501.99999999999989</v>
      </c>
      <c r="G39"/>
      <c r="H39"/>
      <c r="I39"/>
      <c r="J39"/>
      <c r="K39"/>
    </row>
    <row r="40" spans="1:11" ht="15.75" thickTop="1">
      <c r="G40"/>
      <c r="H40"/>
      <c r="I40"/>
      <c r="J40"/>
      <c r="K40"/>
    </row>
    <row r="41" spans="1:11">
      <c r="G41"/>
      <c r="H41"/>
      <c r="I41"/>
      <c r="J41"/>
      <c r="K41"/>
    </row>
    <row r="42" spans="1:11">
      <c r="A42" s="3" t="str">
        <f t="shared" ref="A42:F42" si="4">A5</f>
        <v>EUR millions</v>
      </c>
      <c r="B42" s="3">
        <f t="shared" si="4"/>
        <v>2005</v>
      </c>
      <c r="C42" s="3">
        <f t="shared" si="4"/>
        <v>2006</v>
      </c>
      <c r="D42" s="3">
        <f t="shared" si="4"/>
        <v>2007</v>
      </c>
      <c r="E42" s="3">
        <f t="shared" si="4"/>
        <v>2008</v>
      </c>
      <c r="F42" s="3">
        <f t="shared" si="4"/>
        <v>2009</v>
      </c>
      <c r="G42"/>
      <c r="H42"/>
      <c r="I42"/>
      <c r="J42"/>
      <c r="K42"/>
    </row>
    <row r="43" spans="1:11">
      <c r="A43" s="1" t="s">
        <v>65</v>
      </c>
      <c r="B43" s="8">
        <f>Reorganized!B86-Reorganized!C86</f>
        <v>384</v>
      </c>
      <c r="C43" s="8">
        <f>Reorganized!C86-Reorganized!D86</f>
        <v>393</v>
      </c>
      <c r="D43" s="8">
        <f>Reorganized!D86-Reorganized!E86</f>
        <v>174</v>
      </c>
      <c r="E43" s="8">
        <f>Reorganized!E86-Reorganized!F86</f>
        <v>-979</v>
      </c>
      <c r="F43" s="8">
        <f>Reorganized!F86-Reorganized!G86</f>
        <v>1157</v>
      </c>
      <c r="G43"/>
      <c r="H43"/>
      <c r="I43"/>
      <c r="J43"/>
      <c r="K43"/>
    </row>
    <row r="44" spans="1:11">
      <c r="A44" s="1" t="s">
        <v>28</v>
      </c>
      <c r="B44" s="8">
        <f>Reorganized!B87-Reorganized!C87</f>
        <v>-1015</v>
      </c>
      <c r="C44" s="8">
        <f>Reorganized!C87-Reorganized!D87</f>
        <v>78</v>
      </c>
      <c r="D44" s="8">
        <f>Reorganized!D87-Reorganized!E87</f>
        <v>18</v>
      </c>
      <c r="E44" s="8">
        <f>Reorganized!E87-Reorganized!F87</f>
        <v>-98</v>
      </c>
      <c r="F44" s="8">
        <f>Reorganized!F87-Reorganized!G87</f>
        <v>-1024</v>
      </c>
      <c r="G44"/>
      <c r="H44"/>
      <c r="I44"/>
      <c r="J44"/>
      <c r="K44"/>
    </row>
    <row r="45" spans="1:11">
      <c r="A45" s="1" t="s">
        <v>26</v>
      </c>
      <c r="B45" s="8">
        <f>Reorganized!B88-Reorganized!C88</f>
        <v>754</v>
      </c>
      <c r="C45" s="8">
        <f>Reorganized!C88-Reorganized!D88</f>
        <v>273</v>
      </c>
      <c r="D45" s="8">
        <f>Reorganized!D88-Reorganized!E88</f>
        <v>131</v>
      </c>
      <c r="E45" s="8">
        <f>Reorganized!E88-Reorganized!F88</f>
        <v>-176</v>
      </c>
      <c r="F45" s="8">
        <f>Reorganized!F88-Reorganized!G88</f>
        <v>-34</v>
      </c>
      <c r="G45"/>
      <c r="H45"/>
      <c r="I45"/>
      <c r="J45"/>
      <c r="K45"/>
    </row>
    <row r="46" spans="1:11">
      <c r="A46" s="6" t="s">
        <v>27</v>
      </c>
      <c r="B46" s="22">
        <f>Reorganized!B89-Reorganized!C89</f>
        <v>1513</v>
      </c>
      <c r="C46" s="22">
        <f>Reorganized!C89-Reorganized!D89</f>
        <v>-126</v>
      </c>
      <c r="D46" s="22">
        <f>Reorganized!D89-Reorganized!E89</f>
        <v>7</v>
      </c>
      <c r="E46" s="22">
        <f>Reorganized!E89-Reorganized!F89</f>
        <v>-217</v>
      </c>
      <c r="F46" s="22">
        <f>Reorganized!F89-Reorganized!G89</f>
        <v>95</v>
      </c>
      <c r="G46"/>
      <c r="H46"/>
      <c r="I46"/>
      <c r="J46"/>
      <c r="K46"/>
    </row>
    <row r="47" spans="1:11">
      <c r="A47" s="2" t="s">
        <v>170</v>
      </c>
      <c r="B47" s="8">
        <f>SUM(B43:B46)</f>
        <v>1636</v>
      </c>
      <c r="C47" s="8">
        <f t="shared" ref="C47:F47" si="5">SUM(C43:C46)</f>
        <v>618</v>
      </c>
      <c r="D47" s="8">
        <f t="shared" si="5"/>
        <v>330</v>
      </c>
      <c r="E47" s="8">
        <f t="shared" si="5"/>
        <v>-1470</v>
      </c>
      <c r="F47" s="8">
        <f t="shared" si="5"/>
        <v>194</v>
      </c>
      <c r="G47"/>
      <c r="H47"/>
      <c r="I47"/>
      <c r="J47"/>
      <c r="K47"/>
    </row>
    <row r="48" spans="1:11">
      <c r="G48"/>
      <c r="H48"/>
      <c r="I48"/>
      <c r="J48"/>
      <c r="K48"/>
    </row>
    <row r="49" spans="1:11" ht="17.25">
      <c r="A49" s="1" t="s">
        <v>191</v>
      </c>
      <c r="B49" s="8">
        <f>(Reorganized!B92-Reorganized!C92)+(Reorganized!C80-Reorganized!B80)-Financials!C38</f>
        <v>-58</v>
      </c>
      <c r="C49" s="8">
        <f>(Reorganized!C92-Reorganized!D92)+(Reorganized!D80-Reorganized!C80)-Financials!D38</f>
        <v>212</v>
      </c>
      <c r="D49" s="8">
        <f>(Reorganized!D92-Reorganized!E92)+(Reorganized!E80-Reorganized!D80)-Financials!E38</f>
        <v>67</v>
      </c>
      <c r="E49" s="8">
        <f>(Reorganized!E92-Reorganized!F92)+(Reorganized!F80-Reorganized!E80)-Financials!F38</f>
        <v>-119</v>
      </c>
      <c r="F49" s="8">
        <f>(Reorganized!F92-Reorganized!G92)+(Reorganized!G80-Reorganized!F80)-Financials!G38</f>
        <v>87</v>
      </c>
      <c r="G49"/>
      <c r="H49"/>
      <c r="I49"/>
      <c r="J49"/>
      <c r="K49"/>
    </row>
    <row r="50" spans="1:11" ht="17.25">
      <c r="A50" s="1" t="s">
        <v>192</v>
      </c>
      <c r="B50" s="8">
        <f>Reorganized!B93-Reorganized!C93-Financials!C24</f>
        <v>1</v>
      </c>
      <c r="C50" s="8">
        <f>Reorganized!C93-Reorganized!D93-Financials!D24</f>
        <v>-16</v>
      </c>
      <c r="D50" s="8">
        <f>Reorganized!D93-Reorganized!E93-Financials!E24</f>
        <v>17</v>
      </c>
      <c r="E50" s="8">
        <f>Reorganized!E93-Reorganized!F93-Financials!F24</f>
        <v>24</v>
      </c>
      <c r="F50" s="8">
        <f>Reorganized!F93-Reorganized!G93-Financials!G24</f>
        <v>7</v>
      </c>
      <c r="G50"/>
      <c r="H50"/>
      <c r="I50"/>
      <c r="J50"/>
      <c r="K50"/>
    </row>
    <row r="51" spans="1:11">
      <c r="G51"/>
      <c r="H51"/>
      <c r="I51"/>
      <c r="J51"/>
      <c r="K51"/>
    </row>
    <row r="52" spans="1:11">
      <c r="A52" s="1" t="s">
        <v>1</v>
      </c>
      <c r="B52" s="8">
        <f>Reorganized!B95-Reorganized!C95</f>
        <v>0</v>
      </c>
      <c r="C52" s="8">
        <f>Reorganized!C95-Reorganized!D95</f>
        <v>0</v>
      </c>
      <c r="D52" s="8">
        <f>Reorganized!D95-Reorganized!E95</f>
        <v>-64</v>
      </c>
      <c r="E52" s="8">
        <f>Reorganized!E95-Reorganized!F95</f>
        <v>0</v>
      </c>
      <c r="F52" s="8">
        <f>Reorganized!F95-Reorganized!G95</f>
        <v>0</v>
      </c>
      <c r="G52"/>
      <c r="H52"/>
      <c r="I52"/>
      <c r="J52"/>
      <c r="K52"/>
    </row>
    <row r="53" spans="1:11">
      <c r="A53" s="1" t="s">
        <v>2</v>
      </c>
      <c r="B53" s="8">
        <f>Reorganized!B96-Reorganized!C96</f>
        <v>0</v>
      </c>
      <c r="C53" s="8">
        <f>Reorganized!C96-Reorganized!D96</f>
        <v>0</v>
      </c>
      <c r="D53" s="8">
        <f>Reorganized!D96-Reorganized!E96</f>
        <v>0</v>
      </c>
      <c r="E53" s="8">
        <f>Reorganized!E96-Reorganized!F96</f>
        <v>0</v>
      </c>
      <c r="F53" s="8">
        <f>Reorganized!F96-Reorganized!G96</f>
        <v>0</v>
      </c>
      <c r="G53"/>
      <c r="H53"/>
      <c r="I53"/>
      <c r="J53"/>
      <c r="K53"/>
    </row>
    <row r="54" spans="1:11">
      <c r="A54" s="1" t="s">
        <v>149</v>
      </c>
      <c r="B54" s="8">
        <f>-Financials!C36</f>
        <v>181</v>
      </c>
      <c r="C54" s="8">
        <f>-Financials!D36</f>
        <v>190</v>
      </c>
      <c r="D54" s="8">
        <f>-Financials!E36</f>
        <v>211</v>
      </c>
      <c r="E54" s="8">
        <f>-Financials!F36</f>
        <v>224</v>
      </c>
      <c r="F54" s="8">
        <f>-Financials!G36</f>
        <v>224</v>
      </c>
      <c r="G54"/>
      <c r="H54"/>
      <c r="I54"/>
      <c r="J54"/>
      <c r="K54"/>
    </row>
    <row r="55" spans="1:11">
      <c r="A55" s="1" t="s">
        <v>162</v>
      </c>
      <c r="B55" s="8">
        <f>-Financials!C37</f>
        <v>-8</v>
      </c>
      <c r="C55" s="8">
        <f>-Financials!D37</f>
        <v>-47</v>
      </c>
      <c r="D55" s="8">
        <f>-Financials!E37</f>
        <v>50</v>
      </c>
      <c r="E55" s="8">
        <f>-Financials!F37</f>
        <v>-5</v>
      </c>
      <c r="F55" s="8">
        <f>-Financials!G37</f>
        <v>-10</v>
      </c>
    </row>
    <row r="56" spans="1:11" ht="15.75" thickBot="1">
      <c r="A56" s="43" t="s">
        <v>168</v>
      </c>
      <c r="B56" s="35">
        <f>SUM(B47:B55)</f>
        <v>1752</v>
      </c>
      <c r="C56" s="35">
        <f>SUM(C47:C55)</f>
        <v>957</v>
      </c>
      <c r="D56" s="35">
        <f>SUM(D47:D55)</f>
        <v>611</v>
      </c>
      <c r="E56" s="35">
        <f>SUM(E47:E55)</f>
        <v>-1346</v>
      </c>
      <c r="F56" s="35">
        <f>SUM(F47:F55)</f>
        <v>502</v>
      </c>
    </row>
    <row r="57" spans="1:11" ht="15.75" thickTop="1"/>
    <row r="58" spans="1:11" ht="17.25">
      <c r="A58" s="61" t="s">
        <v>206</v>
      </c>
    </row>
    <row r="59" spans="1:11">
      <c r="A59" s="61" t="s">
        <v>196</v>
      </c>
    </row>
    <row r="60" spans="1:11">
      <c r="A60" s="61" t="s">
        <v>197</v>
      </c>
    </row>
    <row r="61" spans="1:11">
      <c r="A61" s="61"/>
    </row>
    <row r="62" spans="1:11" ht="17.25">
      <c r="A62" s="61" t="s">
        <v>207</v>
      </c>
    </row>
    <row r="63" spans="1:11">
      <c r="A63" s="61" t="s">
        <v>198</v>
      </c>
    </row>
    <row r="64" spans="1:11">
      <c r="A64" s="61"/>
    </row>
    <row r="65" spans="1:1" ht="17.25">
      <c r="A65" s="61" t="s">
        <v>208</v>
      </c>
    </row>
  </sheetData>
  <mergeCells count="1">
    <mergeCell ref="G3:K3"/>
  </mergeCells>
  <pageMargins left="0.7" right="0.7" top="0.75" bottom="0.75" header="0.3" footer="0.3"/>
  <pageSetup scale="70" orientation="landscape" r:id="rId1"/>
  <headerFooter>
    <oddHeader>&amp;C&amp;"Calibri,Bold"&amp;12Henkel AG
Free Cash Flow</oddHeader>
  </headerFooter>
  <rowBreaks count="1" manualBreakCount="1">
    <brk id="2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2:I32"/>
  <sheetViews>
    <sheetView zoomScale="85" zoomScaleNormal="85" workbookViewId="0">
      <selection activeCell="A2" sqref="A2"/>
    </sheetView>
  </sheetViews>
  <sheetFormatPr defaultRowHeight="15"/>
  <cols>
    <col min="1" max="7" width="12.42578125" style="1" customWidth="1"/>
    <col min="8" max="16384" width="9.140625" style="1"/>
  </cols>
  <sheetData>
    <row r="2" spans="1:9">
      <c r="A2" s="2" t="str">
        <f>company_name</f>
        <v>Henkel AG</v>
      </c>
      <c r="F2" s="2" t="str">
        <f>company_name</f>
        <v>Henkel AG</v>
      </c>
    </row>
    <row r="3" spans="1:9">
      <c r="A3" s="1" t="s">
        <v>185</v>
      </c>
      <c r="F3" s="1" t="s">
        <v>171</v>
      </c>
    </row>
    <row r="5" spans="1:9" ht="15" customHeight="1">
      <c r="A5" s="10"/>
      <c r="B5" s="75" t="s">
        <v>160</v>
      </c>
      <c r="C5" s="77" t="s">
        <v>173</v>
      </c>
      <c r="D5" s="75" t="s">
        <v>174</v>
      </c>
    </row>
    <row r="6" spans="1:9" ht="15" customHeight="1">
      <c r="A6" s="66" t="s">
        <v>172</v>
      </c>
      <c r="B6" s="76"/>
      <c r="C6" s="76"/>
      <c r="D6" s="76"/>
      <c r="F6" s="67" t="s">
        <v>176</v>
      </c>
      <c r="G6" s="6"/>
    </row>
    <row r="7" spans="1:9">
      <c r="A7" s="68">
        <f>FCF!G5</f>
        <v>2010</v>
      </c>
      <c r="B7" s="17">
        <f>FCF!G16</f>
        <v>909.48293107344659</v>
      </c>
      <c r="C7" s="69">
        <f>(1+WACC)</f>
        <v>1.0660000000000001</v>
      </c>
      <c r="D7" s="17">
        <f t="shared" ref="D7:D12" si="0">B7/C7</f>
        <v>853.17348130717312</v>
      </c>
      <c r="F7" s="1" t="s">
        <v>157</v>
      </c>
      <c r="G7" s="8">
        <f>Reorganized!M18</f>
        <v>1264.916928984147</v>
      </c>
    </row>
    <row r="8" spans="1:9">
      <c r="A8" s="68">
        <f>FCF!H5</f>
        <v>2011</v>
      </c>
      <c r="B8" s="17">
        <f>FCF!H16</f>
        <v>1004.0013336610185</v>
      </c>
      <c r="C8" s="69">
        <f>(1+WACC)*C7</f>
        <v>1.1363560000000001</v>
      </c>
      <c r="D8" s="17">
        <f t="shared" si="0"/>
        <v>883.52711092388165</v>
      </c>
    </row>
    <row r="9" spans="1:9">
      <c r="A9" s="68">
        <f>FCF!I5</f>
        <v>2012</v>
      </c>
      <c r="B9" s="17">
        <f>FCF!I16</f>
        <v>1039.1413803391529</v>
      </c>
      <c r="C9" s="69">
        <f>(1+WACC)*C8</f>
        <v>1.2113554960000001</v>
      </c>
      <c r="D9" s="17">
        <f t="shared" si="0"/>
        <v>857.83354578444312</v>
      </c>
      <c r="F9" s="1" t="s">
        <v>177</v>
      </c>
      <c r="G9" s="30">
        <f>Reorganized!M18/Reorganized!M64</f>
        <v>0.39878381440853933</v>
      </c>
      <c r="I9" s="1" t="s">
        <v>187</v>
      </c>
    </row>
    <row r="10" spans="1:9">
      <c r="A10" s="68">
        <f>FCF!J5</f>
        <v>2013</v>
      </c>
      <c r="B10" s="17">
        <f>FCF!J16</f>
        <v>1066.9523637227189</v>
      </c>
      <c r="C10" s="69">
        <f>(1+WACC)*C9</f>
        <v>1.2913049587360002</v>
      </c>
      <c r="D10" s="17">
        <f t="shared" si="0"/>
        <v>826.25901535072717</v>
      </c>
      <c r="F10" s="1" t="s">
        <v>178</v>
      </c>
      <c r="G10" s="19">
        <v>6.6000000000000003E-2</v>
      </c>
    </row>
    <row r="11" spans="1:9">
      <c r="A11" s="68">
        <f>FCF!K5</f>
        <v>2014</v>
      </c>
      <c r="B11" s="17">
        <f>FCF!K16</f>
        <v>1109.6304582716268</v>
      </c>
      <c r="C11" s="69">
        <f>(1+WACC)*C10</f>
        <v>1.3765310860125763</v>
      </c>
      <c r="D11" s="17">
        <f t="shared" si="0"/>
        <v>806.10635643973319</v>
      </c>
      <c r="F11" s="1" t="s">
        <v>179</v>
      </c>
      <c r="G11" s="30">
        <f>G9-WACC</f>
        <v>0.33278381440853932</v>
      </c>
    </row>
    <row r="12" spans="1:9">
      <c r="A12" s="68" t="s">
        <v>175</v>
      </c>
      <c r="B12" s="17">
        <f>G7*(1-G13/G9)/(WACC-G13)</f>
        <v>26119.091290492917</v>
      </c>
      <c r="C12" s="69">
        <f>C11</f>
        <v>1.3765310860125763</v>
      </c>
      <c r="D12" s="17">
        <f t="shared" si="0"/>
        <v>18974.574243835337</v>
      </c>
    </row>
    <row r="13" spans="1:9">
      <c r="F13" s="1" t="s">
        <v>180</v>
      </c>
      <c r="G13" s="19">
        <v>0.02</v>
      </c>
    </row>
    <row r="14" spans="1:9">
      <c r="A14" s="1" t="s">
        <v>181</v>
      </c>
      <c r="D14" s="17">
        <f>SUM(D7:D13)</f>
        <v>23201.473753641294</v>
      </c>
    </row>
    <row r="15" spans="1:9">
      <c r="A15" s="37" t="s">
        <v>40</v>
      </c>
      <c r="D15" s="17">
        <f>Reorganized!G76</f>
        <v>838.54</v>
      </c>
    </row>
    <row r="16" spans="1:9">
      <c r="A16" s="1" t="s">
        <v>43</v>
      </c>
      <c r="D16" s="17">
        <f>Reorganized!G79</f>
        <v>341</v>
      </c>
    </row>
    <row r="17" spans="1:4">
      <c r="A17" s="6" t="s">
        <v>61</v>
      </c>
      <c r="B17" s="6"/>
      <c r="C17" s="6"/>
      <c r="D17" s="24">
        <f>Reorganized!G81</f>
        <v>30</v>
      </c>
    </row>
    <row r="18" spans="1:4">
      <c r="A18" s="1" t="s">
        <v>182</v>
      </c>
      <c r="D18" s="17">
        <f>SUM(D14:D17)</f>
        <v>24411.013753641295</v>
      </c>
    </row>
    <row r="19" spans="1:4">
      <c r="D19" s="17"/>
    </row>
    <row r="20" spans="1:4">
      <c r="A20" s="1" t="str">
        <f>Reorganized!A86</f>
        <v>Short-term borrowings</v>
      </c>
      <c r="D20" s="17">
        <f>-Reorganized!G86</f>
        <v>-660</v>
      </c>
    </row>
    <row r="21" spans="1:4">
      <c r="A21" s="1" t="str">
        <f>Reorganized!A87</f>
        <v>Long-term borrowings</v>
      </c>
      <c r="D21" s="17">
        <f>-Reorganized!G87</f>
        <v>-3426</v>
      </c>
    </row>
    <row r="22" spans="1:4">
      <c r="A22" s="1" t="str">
        <f>Reorganized!A88</f>
        <v>Pensions and similar obligations</v>
      </c>
      <c r="D22" s="17">
        <f>-Reorganized!G88</f>
        <v>-867</v>
      </c>
    </row>
    <row r="23" spans="1:4">
      <c r="A23" s="1" t="str">
        <f>Reorganized!A89</f>
        <v>Other long-term provisions</v>
      </c>
      <c r="D23" s="17">
        <f>-Reorganized!G89</f>
        <v>-241</v>
      </c>
    </row>
    <row r="24" spans="1:4">
      <c r="A24" s="6" t="str">
        <f>Reorganized!A93</f>
        <v>Minority interest</v>
      </c>
      <c r="B24" s="6"/>
      <c r="C24" s="6"/>
      <c r="D24" s="24">
        <f>-Reorganized!G93</f>
        <v>-70</v>
      </c>
    </row>
    <row r="25" spans="1:4" ht="17.25">
      <c r="A25" s="1" t="s">
        <v>205</v>
      </c>
      <c r="D25" s="17">
        <f>SUM(D18:D24)</f>
        <v>19147.013753641295</v>
      </c>
    </row>
    <row r="26" spans="1:4">
      <c r="D26" s="17"/>
    </row>
    <row r="27" spans="1:4">
      <c r="A27" s="1" t="s">
        <v>183</v>
      </c>
      <c r="D27" s="55">
        <f>178.2+259.8</f>
        <v>438</v>
      </c>
    </row>
    <row r="28" spans="1:4" ht="15.75" thickBot="1">
      <c r="A28" s="15" t="s">
        <v>184</v>
      </c>
      <c r="B28" s="15"/>
      <c r="C28" s="15"/>
      <c r="D28" s="70">
        <f>D25/D27</f>
        <v>43.714643273153641</v>
      </c>
    </row>
    <row r="29" spans="1:4" ht="15.75" thickTop="1"/>
    <row r="30" spans="1:4" ht="17.25">
      <c r="A30" s="61" t="s">
        <v>209</v>
      </c>
    </row>
    <row r="32" spans="1:4">
      <c r="D32" s="71"/>
    </row>
  </sheetData>
  <mergeCells count="3">
    <mergeCell ref="B5:B6"/>
    <mergeCell ref="C5:C6"/>
    <mergeCell ref="D5:D6"/>
  </mergeCells>
  <pageMargins left="0.7" right="0.7" top="0.75" bottom="0.75" header="0.3" footer="0.3"/>
  <pageSetup scale="70" orientation="landscape" r:id="rId1"/>
  <headerFooter>
    <oddHeader>&amp;C&amp;"Calibri,Bold"&amp;12Henkel AG
Enterprise Valuation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Financials</vt:lpstr>
      <vt:lpstr>Supplemental</vt:lpstr>
      <vt:lpstr>Reorganized</vt:lpstr>
      <vt:lpstr>Taxes</vt:lpstr>
      <vt:lpstr>Forecasts</vt:lpstr>
      <vt:lpstr>FCF</vt:lpstr>
      <vt:lpstr>Valuation</vt:lpstr>
      <vt:lpstr>company_name</vt:lpstr>
      <vt:lpstr>currency</vt:lpstr>
      <vt:lpstr>FCF!Print_Area</vt:lpstr>
      <vt:lpstr>Valuation!Print_Area</vt:lpstr>
      <vt:lpstr>WACC</vt:lpstr>
    </vt:vector>
  </TitlesOfParts>
  <Company>The Wharton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 David Wessels</dc:creator>
  <cp:lastModifiedBy>David Wessels</cp:lastModifiedBy>
  <cp:lastPrinted>2010-12-06T22:39:35Z</cp:lastPrinted>
  <dcterms:created xsi:type="dcterms:W3CDTF">2007-03-24T22:54:24Z</dcterms:created>
  <dcterms:modified xsi:type="dcterms:W3CDTF">2010-12-06T22:42:35Z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7819&quot;&gt;&lt;version val=&quot;17875&quot;/&gt;&lt;CXlWorkbook id=&quot;1&quot;&gt;&lt;m_cxllink/&gt;&lt;/CXlWorkbook&gt;&lt;/root&gt;">
    <vt:bool>false</vt:bool>
  </property>
  <property fmtid="{D5CDD505-2E9C-101B-9397-08002B2CF9AE}" pid="3" name="CachePFDLData">
    <vt:lpwstr>True</vt:lpwstr>
  </property>
</Properties>
</file>