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" windowWidth="19440" windowHeight="13176" activeTab="4"/>
  </bookViews>
  <sheets>
    <sheet name="Cover" sheetId="4" r:id="rId1"/>
    <sheet name="Q1" sheetId="5" r:id="rId2"/>
    <sheet name="Q2" sheetId="3" r:id="rId3"/>
    <sheet name="Q3&amp;4" sheetId="6" r:id="rId4"/>
    <sheet name="Q5&amp;6" sheetId="7" r:id="rId5"/>
    <sheet name="Q7" sheetId="8" r:id="rId6"/>
    <sheet name="Exhibit 6.18" sheetId="1" r:id="rId7"/>
  </sheets>
  <calcPr calcId="125725"/>
</workbook>
</file>

<file path=xl/calcChain.xml><?xml version="1.0" encoding="utf-8"?>
<calcChain xmlns="http://schemas.openxmlformats.org/spreadsheetml/2006/main">
  <c r="B36" i="7"/>
  <c r="C12" i="1"/>
  <c r="C13" i="5" s="1"/>
  <c r="B12" i="1"/>
  <c r="E9" i="8"/>
  <c r="G11" i="1"/>
  <c r="G12" i="5" s="1"/>
  <c r="B19" i="6"/>
  <c r="F18" i="3"/>
  <c r="B9"/>
  <c r="B18" s="1"/>
  <c r="F12" i="5"/>
  <c r="B16" i="6" s="1"/>
  <c r="B13" i="5"/>
  <c r="B8"/>
  <c r="G7"/>
  <c r="F7"/>
  <c r="B17" i="3" l="1"/>
  <c r="B19" s="1"/>
  <c r="C19" s="1"/>
  <c r="B14" i="8"/>
  <c r="J7" i="5"/>
  <c r="B7" i="7" s="1"/>
  <c r="E7" s="1"/>
  <c r="C17" i="3" l="1"/>
  <c r="C18"/>
  <c r="G18" s="1"/>
  <c r="C7" i="1"/>
  <c r="C8" i="5" s="1"/>
  <c r="G6" i="1"/>
  <c r="G25" s="1"/>
  <c r="F6"/>
  <c r="F25" s="1"/>
  <c r="C25"/>
  <c r="B25"/>
  <c r="F8"/>
  <c r="F9" i="5" s="1"/>
  <c r="B9" i="1"/>
  <c r="B10" i="5" s="1"/>
  <c r="B8" i="1"/>
  <c r="B9" i="5" l="1"/>
  <c r="B11" s="1"/>
  <c r="B14" s="1"/>
  <c r="F7" i="1"/>
  <c r="F8" i="5" s="1"/>
  <c r="F10" s="1"/>
  <c r="B12" i="7" s="1"/>
  <c r="E14" s="1"/>
  <c r="E10"/>
  <c r="B9" i="6"/>
  <c r="E10" i="8"/>
  <c r="C8" i="1"/>
  <c r="C9"/>
  <c r="C10" i="5" s="1"/>
  <c r="J12" s="1"/>
  <c r="B9" i="8" s="1"/>
  <c r="G8" i="1"/>
  <c r="G9" i="5" s="1"/>
  <c r="B10" i="1"/>
  <c r="B29" s="1"/>
  <c r="C9" i="5" l="1"/>
  <c r="C11" s="1"/>
  <c r="G7" i="1"/>
  <c r="G8" i="5" s="1"/>
  <c r="J15" s="1"/>
  <c r="B12" i="8" s="1"/>
  <c r="J16" i="5"/>
  <c r="B13" i="8" s="1"/>
  <c r="F9" i="1"/>
  <c r="F13" s="1"/>
  <c r="F12" s="1"/>
  <c r="F13" i="5" s="1"/>
  <c r="F14" s="1"/>
  <c r="B13" i="1"/>
  <c r="B15" s="1"/>
  <c r="C10"/>
  <c r="C29" s="1"/>
  <c r="G10" i="5" l="1"/>
  <c r="G9" i="1"/>
  <c r="G13" s="1"/>
  <c r="G12" s="1"/>
  <c r="G13" i="5" s="1"/>
  <c r="G14" s="1"/>
  <c r="C14"/>
  <c r="J8"/>
  <c r="B16" i="1"/>
  <c r="B16" i="5"/>
  <c r="B17" s="1"/>
  <c r="C13" i="1"/>
  <c r="C15" s="1"/>
  <c r="B8" i="7" l="1"/>
  <c r="J9" i="5"/>
  <c r="B9" i="7" s="1"/>
  <c r="C16" i="1"/>
  <c r="C16" i="5"/>
  <c r="E17" i="3" s="1"/>
  <c r="F17" s="1"/>
  <c r="G17" s="1"/>
  <c r="G19" s="1"/>
  <c r="C17" i="5" l="1"/>
  <c r="B8" i="8" s="1"/>
  <c r="B10" s="1"/>
  <c r="B15" s="1"/>
  <c r="E8" s="1"/>
  <c r="E11" s="1"/>
  <c r="B8" i="6"/>
  <c r="B13" i="7"/>
  <c r="B14" s="1"/>
  <c r="E9"/>
  <c r="J10" i="5"/>
  <c r="J13" l="1"/>
  <c r="J17" s="1"/>
  <c r="B7" i="6" s="1"/>
  <c r="B11" s="1"/>
  <c r="B10" i="7"/>
  <c r="B16" s="1"/>
  <c r="E8" s="1"/>
  <c r="E11" s="1"/>
  <c r="E15" s="1"/>
  <c r="E16" s="1"/>
  <c r="E18" l="1"/>
  <c r="B15" i="6"/>
  <c r="B17" s="1"/>
  <c r="B20" s="1"/>
</calcChain>
</file>

<file path=xl/sharedStrings.xml><?xml version="1.0" encoding="utf-8"?>
<sst xmlns="http://schemas.openxmlformats.org/spreadsheetml/2006/main" count="159" uniqueCount="105">
  <si>
    <t>Revenues</t>
  </si>
  <si>
    <t>Operating costs</t>
  </si>
  <si>
    <t>Depreciation</t>
  </si>
  <si>
    <t>Operating profits</t>
  </si>
  <si>
    <t>Debt</t>
  </si>
  <si>
    <t>Equity</t>
  </si>
  <si>
    <t>Income Statement</t>
  </si>
  <si>
    <t>Operating taxes</t>
  </si>
  <si>
    <t>Interest</t>
  </si>
  <si>
    <t>Earnings before taxes</t>
  </si>
  <si>
    <t>Taxes</t>
  </si>
  <si>
    <t>Net Income</t>
  </si>
  <si>
    <t>Balance sheet</t>
  </si>
  <si>
    <t>Year 1</t>
  </si>
  <si>
    <t>Free cash flow</t>
  </si>
  <si>
    <t>Today</t>
  </si>
  <si>
    <t>Property and equipment</t>
  </si>
  <si>
    <t>Shareholders' equity</t>
  </si>
  <si>
    <t>$ million</t>
  </si>
  <si>
    <t>NOPLAT</t>
  </si>
  <si>
    <t>Reorganized balance sheet</t>
  </si>
  <si>
    <t>Invested capital</t>
  </si>
  <si>
    <t>Increase in working capital</t>
  </si>
  <si>
    <t>Capital expenditures</t>
  </si>
  <si>
    <t>Gross cash flow</t>
  </si>
  <si>
    <t>Shares outstanding</t>
  </si>
  <si>
    <t>Equity value</t>
  </si>
  <si>
    <t>Weighted average cost of capital</t>
  </si>
  <si>
    <t>Enterprise value</t>
  </si>
  <si>
    <t>Cost of debt</t>
  </si>
  <si>
    <t>Cost of equity</t>
  </si>
  <si>
    <t>Net income</t>
  </si>
  <si>
    <r>
      <t>Operating working capital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</si>
  <si>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sz val="10"/>
        <color theme="1"/>
        <rFont val="Calibri"/>
        <family val="2"/>
        <scheme val="minor"/>
      </rPr>
      <t xml:space="preserve">EXHIBIT 6.18 </t>
    </r>
    <r>
      <rPr>
        <b/>
        <sz val="14"/>
        <color theme="1"/>
        <rFont val="Calibri"/>
        <family val="2"/>
        <scheme val="minor"/>
      </rPr>
      <t>BrandCo: Income Statement and Reorganized Balance Sheet</t>
    </r>
  </si>
  <si>
    <r>
      <t>1</t>
    </r>
    <r>
      <rPr>
        <sz val="11"/>
        <color theme="1"/>
        <rFont val="Calibri"/>
        <family val="2"/>
        <scheme val="minor"/>
      </rPr>
      <t xml:space="preserve"> Accounts payable has been netted against inventory to determine operating working capital</t>
    </r>
  </si>
  <si>
    <t>Valuation</t>
  </si>
  <si>
    <t>Measuring and Managing the Value of Companies</t>
  </si>
  <si>
    <t>5th Edition</t>
  </si>
  <si>
    <t>Version 1.0</t>
  </si>
  <si>
    <t>April 1, 2010</t>
  </si>
  <si>
    <t>Frameworks for Valuation</t>
  </si>
  <si>
    <t>Chapter 6 Solutions</t>
  </si>
  <si>
    <t>Chapter 6</t>
  </si>
  <si>
    <t>Question 1</t>
  </si>
  <si>
    <t>Operating working capital</t>
  </si>
  <si>
    <t>Question 2</t>
  </si>
  <si>
    <t>Enterprise Value</t>
  </si>
  <si>
    <t>Proportion</t>
  </si>
  <si>
    <t>After-tax</t>
  </si>
  <si>
    <t>Contribution</t>
  </si>
  <si>
    <t>of total</t>
  </si>
  <si>
    <t>Cost of</t>
  </si>
  <si>
    <t>Marginal</t>
  </si>
  <si>
    <t>cost of</t>
  </si>
  <si>
    <t>to weighted</t>
  </si>
  <si>
    <t>capital</t>
  </si>
  <si>
    <t>tax rate</t>
  </si>
  <si>
    <t>average</t>
  </si>
  <si>
    <t>x Share price</t>
  </si>
  <si>
    <t>Enterprise Valuation</t>
  </si>
  <si>
    <t>Expected growth</t>
  </si>
  <si>
    <t>Cost of capital</t>
  </si>
  <si>
    <t>Enterprise valuation</t>
  </si>
  <si>
    <t>Source of capital</t>
  </si>
  <si>
    <t>Market</t>
  </si>
  <si>
    <t>value</t>
  </si>
  <si>
    <t>Commentary</t>
  </si>
  <si>
    <t>if interest rates have changed meaningfully since the debt was issued.</t>
  </si>
  <si>
    <t>Key Data:</t>
  </si>
  <si>
    <t>Operating tax rate</t>
  </si>
  <si>
    <t>Equity Valuation</t>
  </si>
  <si>
    <t>Value of debt</t>
  </si>
  <si>
    <t>Questions 3 &amp; 4</t>
  </si>
  <si>
    <t>Value per share</t>
  </si>
  <si>
    <t>Questions 5 &amp; 6</t>
  </si>
  <si>
    <t>Economic profit</t>
  </si>
  <si>
    <t>Capital charge</t>
  </si>
  <si>
    <t>x Cost of capital</t>
  </si>
  <si>
    <t>Economic profit valuation</t>
  </si>
  <si>
    <t>Growth</t>
  </si>
  <si>
    <t>PV (economic profit)</t>
  </si>
  <si>
    <t>DCF value</t>
  </si>
  <si>
    <t>Cash flow to equity</t>
  </si>
  <si>
    <t>Increase in debt</t>
  </si>
  <si>
    <t>Question 7</t>
  </si>
  <si>
    <t>Direct equity valuation</t>
  </si>
  <si>
    <t>Growth rate</t>
  </si>
  <si>
    <t>Equity valuation</t>
  </si>
  <si>
    <t>Days in property and equipment</t>
  </si>
  <si>
    <t>Days in inventory, net</t>
  </si>
  <si>
    <t>n/a</t>
  </si>
  <si>
    <t>Growth in revenues</t>
  </si>
  <si>
    <t>Exhibit Data:</t>
  </si>
  <si>
    <t xml:space="preserve">The market value of debt will not equal book value if the company is distressed (i.e. the probability of default is meaningful) or </t>
  </si>
  <si>
    <r>
      <t>Invested capital</t>
    </r>
    <r>
      <rPr>
        <vertAlign val="subscript"/>
        <sz val="11"/>
        <color theme="1"/>
        <rFont val="Calibri"/>
        <family val="2"/>
        <scheme val="minor"/>
      </rPr>
      <t xml:space="preserve"> today</t>
    </r>
  </si>
  <si>
    <t>Continuing Value(t) = NOPLAT(t+1)*[1-g/RONIC]/[WACC-g]</t>
  </si>
  <si>
    <r>
      <t>Continuing Value(0) = NOPLAT(1)*[1-g/RO</t>
    </r>
    <r>
      <rPr>
        <sz val="11"/>
        <rFont val="Calibri"/>
        <family val="2"/>
      </rPr>
      <t>N</t>
    </r>
    <r>
      <rPr>
        <sz val="11"/>
        <color theme="1"/>
        <rFont val="Calibri"/>
        <family val="2"/>
        <scheme val="minor"/>
      </rPr>
      <t>IC]/[WACC-g]</t>
    </r>
  </si>
  <si>
    <t>=$94.5*(1-5%/11%)/(11%-5%)</t>
  </si>
  <si>
    <t>This is an estimate of enterprise value.</t>
  </si>
  <si>
    <t>If done correctly, the estimate using this method should equal that using the DCF method.</t>
  </si>
  <si>
    <t>Operating profit</t>
  </si>
  <si>
    <t>As can be seen by comparing enterprise value in Question 6 with that of Question 4, the two values are identical (as expected).</t>
  </si>
  <si>
    <t>More commentary on Question 6</t>
  </si>
  <si>
    <t>where RONIC is the return on on new capital.</t>
  </si>
  <si>
    <t>Unless the firm has some sustainable competitive advantage, ROIC=WACC.</t>
  </si>
</sst>
</file>

<file path=xl/styles.xml><?xml version="1.0" encoding="utf-8"?>
<styleSheet xmlns="http://schemas.openxmlformats.org/spreadsheetml/2006/main">
  <numFmts count="5">
    <numFmt numFmtId="164" formatCode="0.0_);\(0.0\)"/>
    <numFmt numFmtId="165" formatCode="#,##0.0_);\(#,##0.0\)"/>
    <numFmt numFmtId="166" formatCode="0.0%"/>
    <numFmt numFmtId="167" formatCode="0.0"/>
    <numFmt numFmtId="168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9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165" fontId="0" fillId="0" borderId="0" xfId="0" applyNumberFormat="1"/>
    <xf numFmtId="165" fontId="0" fillId="2" borderId="0" xfId="0" applyNumberFormat="1" applyFill="1"/>
    <xf numFmtId="165" fontId="0" fillId="2" borderId="2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/>
    <xf numFmtId="0" fontId="2" fillId="0" borderId="1" xfId="0" applyFont="1" applyFill="1" applyBorder="1"/>
    <xf numFmtId="164" fontId="0" fillId="0" borderId="0" xfId="0" applyNumberFormat="1" applyFill="1"/>
    <xf numFmtId="0" fontId="0" fillId="0" borderId="0" xfId="0" applyFill="1"/>
    <xf numFmtId="165" fontId="0" fillId="0" borderId="0" xfId="0" applyNumberFormat="1" applyFill="1"/>
    <xf numFmtId="166" fontId="0" fillId="0" borderId="0" xfId="1" applyNumberFormat="1" applyFont="1"/>
    <xf numFmtId="165" fontId="3" fillId="2" borderId="3" xfId="0" applyNumberFormat="1" applyFont="1" applyFill="1" applyBorder="1"/>
    <xf numFmtId="165" fontId="0" fillId="2" borderId="3" xfId="0" applyNumberFormat="1" applyFill="1" applyBorder="1"/>
    <xf numFmtId="165" fontId="2" fillId="2" borderId="0" xfId="0" applyNumberFormat="1" applyFont="1" applyFill="1" applyAlignment="1">
      <alignment horizontal="right"/>
    </xf>
    <xf numFmtId="165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165" fontId="0" fillId="2" borderId="0" xfId="0" applyNumberFormat="1" applyFill="1" applyBorder="1"/>
    <xf numFmtId="165" fontId="0" fillId="2" borderId="1" xfId="0" applyNumberFormat="1" applyFill="1" applyBorder="1"/>
    <xf numFmtId="39" fontId="0" fillId="0" borderId="1" xfId="0" applyNumberFormat="1" applyBorder="1"/>
    <xf numFmtId="165" fontId="5" fillId="2" borderId="0" xfId="0" applyNumberFormat="1" applyFont="1" applyFill="1"/>
    <xf numFmtId="0" fontId="3" fillId="0" borderId="0" xfId="0" applyFont="1"/>
    <xf numFmtId="0" fontId="6" fillId="0" borderId="0" xfId="0" applyFont="1"/>
    <xf numFmtId="0" fontId="0" fillId="0" borderId="0" xfId="0" quotePrefix="1"/>
    <xf numFmtId="0" fontId="2" fillId="0" borderId="0" xfId="0" applyFont="1"/>
    <xf numFmtId="165" fontId="2" fillId="0" borderId="0" xfId="0" applyNumberFormat="1" applyFont="1" applyFill="1" applyAlignment="1">
      <alignment horizontal="right"/>
    </xf>
    <xf numFmtId="165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2" xfId="0" applyNumberFormat="1" applyFill="1" applyBorder="1"/>
    <xf numFmtId="0" fontId="2" fillId="0" borderId="1" xfId="0" applyFont="1" applyFill="1" applyBorder="1" applyAlignment="1">
      <alignment horizontal="right"/>
    </xf>
    <xf numFmtId="164" fontId="0" fillId="0" borderId="2" xfId="0" applyNumberFormat="1" applyFill="1" applyBorder="1"/>
    <xf numFmtId="166" fontId="0" fillId="0" borderId="0" xfId="1" applyNumberFormat="1" applyFont="1" applyFill="1"/>
    <xf numFmtId="0" fontId="0" fillId="0" borderId="1" xfId="0" applyFill="1" applyBorder="1"/>
    <xf numFmtId="0" fontId="0" fillId="0" borderId="2" xfId="0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0" fillId="0" borderId="1" xfId="0" quotePrefix="1" applyBorder="1"/>
    <xf numFmtId="0" fontId="7" fillId="0" borderId="0" xfId="0" applyFont="1" applyFill="1" applyAlignment="1">
      <alignment horizontal="right"/>
    </xf>
    <xf numFmtId="0" fontId="0" fillId="0" borderId="0" xfId="0" applyFont="1" applyFill="1"/>
    <xf numFmtId="0" fontId="7" fillId="0" borderId="1" xfId="0" applyFont="1" applyFill="1" applyBorder="1" applyAlignment="1">
      <alignment horizontal="right"/>
    </xf>
    <xf numFmtId="166" fontId="0" fillId="0" borderId="0" xfId="0" applyNumberFormat="1" applyFill="1"/>
    <xf numFmtId="166" fontId="0" fillId="0" borderId="1" xfId="0" applyNumberFormat="1" applyFont="1" applyFill="1" applyBorder="1"/>
    <xf numFmtId="166" fontId="0" fillId="0" borderId="1" xfId="1" applyNumberFormat="1" applyFont="1" applyFill="1" applyBorder="1"/>
    <xf numFmtId="165" fontId="0" fillId="0" borderId="1" xfId="0" applyNumberFormat="1" applyBorder="1"/>
    <xf numFmtId="166" fontId="0" fillId="0" borderId="0" xfId="0" applyNumberFormat="1"/>
    <xf numFmtId="39" fontId="0" fillId="0" borderId="0" xfId="0" applyNumberFormat="1" applyFill="1"/>
    <xf numFmtId="39" fontId="0" fillId="0" borderId="0" xfId="0" applyNumberFormat="1"/>
    <xf numFmtId="0" fontId="2" fillId="0" borderId="3" xfId="0" applyFont="1" applyFill="1" applyBorder="1"/>
    <xf numFmtId="0" fontId="2" fillId="0" borderId="3" xfId="0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6" fontId="0" fillId="0" borderId="1" xfId="1" applyNumberFormat="1" applyFont="1" applyFill="1" applyBorder="1" applyAlignment="1">
      <alignment horizontal="right"/>
    </xf>
    <xf numFmtId="0" fontId="0" fillId="0" borderId="0" xfId="0" applyBorder="1"/>
    <xf numFmtId="166" fontId="0" fillId="0" borderId="0" xfId="1" applyNumberFormat="1" applyFont="1" applyBorder="1"/>
    <xf numFmtId="167" fontId="0" fillId="0" borderId="0" xfId="0" applyNumberFormat="1"/>
    <xf numFmtId="166" fontId="0" fillId="0" borderId="0" xfId="1" applyNumberFormat="1" applyFont="1" applyAlignment="1">
      <alignment horizontal="right"/>
    </xf>
    <xf numFmtId="0" fontId="0" fillId="0" borderId="0" xfId="0" applyFont="1"/>
    <xf numFmtId="4" fontId="0" fillId="0" borderId="0" xfId="0" applyNumberFormat="1" applyFont="1"/>
    <xf numFmtId="4" fontId="0" fillId="0" borderId="0" xfId="0" quotePrefix="1" applyNumberFormat="1" applyFont="1"/>
    <xf numFmtId="168" fontId="0" fillId="0" borderId="0" xfId="0" quotePrefix="1" applyNumberFormat="1" applyFont="1"/>
    <xf numFmtId="0" fontId="0" fillId="0" borderId="0" xfId="0" quotePrefix="1" applyBorder="1"/>
    <xf numFmtId="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1"/>
  <sheetViews>
    <sheetView workbookViewId="0">
      <selection activeCell="A2" sqref="A2"/>
    </sheetView>
  </sheetViews>
  <sheetFormatPr defaultRowHeight="14.4"/>
  <sheetData>
    <row r="2" spans="1:1" ht="18">
      <c r="A2" s="24" t="s">
        <v>35</v>
      </c>
    </row>
    <row r="3" spans="1:1">
      <c r="A3" t="s">
        <v>36</v>
      </c>
    </row>
    <row r="4" spans="1:1">
      <c r="A4" s="25" t="s">
        <v>37</v>
      </c>
    </row>
    <row r="7" spans="1:1" ht="18">
      <c r="A7" s="24" t="s">
        <v>41</v>
      </c>
    </row>
    <row r="8" spans="1:1">
      <c r="A8" t="s">
        <v>40</v>
      </c>
    </row>
    <row r="10" spans="1:1">
      <c r="A10" t="s">
        <v>38</v>
      </c>
    </row>
    <row r="11" spans="1:1">
      <c r="A11" s="26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2"/>
  <sheetViews>
    <sheetView zoomScale="85" zoomScaleNormal="85" workbookViewId="0">
      <selection activeCell="A2" sqref="A2"/>
    </sheetView>
  </sheetViews>
  <sheetFormatPr defaultRowHeight="14.4"/>
  <cols>
    <col min="1" max="1" width="23" customWidth="1"/>
    <col min="5" max="5" width="26.88671875" customWidth="1"/>
    <col min="9" max="9" width="26" customWidth="1"/>
    <col min="12" max="12" width="23" customWidth="1"/>
  </cols>
  <sheetData>
    <row r="2" spans="1:11">
      <c r="A2" s="27" t="s">
        <v>42</v>
      </c>
    </row>
    <row r="3" spans="1:11">
      <c r="A3" t="s">
        <v>43</v>
      </c>
    </row>
    <row r="4" spans="1:11">
      <c r="A4" s="13"/>
      <c r="B4" s="13"/>
      <c r="C4" s="13"/>
      <c r="D4" s="13"/>
      <c r="E4" s="13"/>
      <c r="F4" s="13"/>
      <c r="G4" s="13"/>
      <c r="I4" s="12"/>
      <c r="J4" s="12"/>
      <c r="K4" s="12"/>
    </row>
    <row r="5" spans="1:11">
      <c r="A5" s="39" t="s">
        <v>6</v>
      </c>
      <c r="B5" s="13"/>
      <c r="C5" s="13"/>
      <c r="D5" s="13"/>
      <c r="E5" s="39" t="s">
        <v>20</v>
      </c>
      <c r="F5" s="28"/>
      <c r="G5" s="28"/>
      <c r="I5" s="40" t="s">
        <v>14</v>
      </c>
      <c r="J5" s="12"/>
      <c r="K5" s="12"/>
    </row>
    <row r="6" spans="1:11">
      <c r="K6" s="12"/>
    </row>
    <row r="7" spans="1:11">
      <c r="A7" s="29"/>
      <c r="B7" s="30" t="s">
        <v>15</v>
      </c>
      <c r="C7" s="30" t="s">
        <v>13</v>
      </c>
      <c r="D7" s="13"/>
      <c r="E7" s="29"/>
      <c r="F7" s="30" t="str">
        <f>B7</f>
        <v>Today</v>
      </c>
      <c r="G7" s="30" t="str">
        <f>C7</f>
        <v>Year 1</v>
      </c>
      <c r="I7" s="10"/>
      <c r="J7" s="34" t="str">
        <f>G7</f>
        <v>Year 1</v>
      </c>
      <c r="K7" s="12"/>
    </row>
    <row r="8" spans="1:11">
      <c r="A8" s="13" t="s">
        <v>0</v>
      </c>
      <c r="B8" s="13">
        <f>'Exhibit 6.18'!B7</f>
        <v>800</v>
      </c>
      <c r="C8" s="13">
        <f>'Exhibit 6.18'!C7</f>
        <v>840</v>
      </c>
      <c r="D8" s="13"/>
      <c r="E8" s="13" t="s">
        <v>44</v>
      </c>
      <c r="F8" s="13">
        <f>'Exhibit 6.18'!F7</f>
        <v>70.136986301369859</v>
      </c>
      <c r="G8" s="13">
        <f>'Exhibit 6.18'!G7</f>
        <v>73.643835616438352</v>
      </c>
      <c r="I8" s="9" t="s">
        <v>3</v>
      </c>
      <c r="J8" s="11">
        <f>C11</f>
        <v>126</v>
      </c>
      <c r="K8" s="12"/>
    </row>
    <row r="9" spans="1:11">
      <c r="A9" s="31" t="s">
        <v>1</v>
      </c>
      <c r="B9" s="13">
        <f>'Exhibit 6.18'!B8</f>
        <v>-640</v>
      </c>
      <c r="C9" s="13">
        <f>'Exhibit 6.18'!C8</f>
        <v>-672</v>
      </c>
      <c r="D9" s="13"/>
      <c r="E9" s="13" t="s">
        <v>16</v>
      </c>
      <c r="F9" s="13">
        <f>'Exhibit 6.18'!F8</f>
        <v>438.35616438356163</v>
      </c>
      <c r="G9" s="13">
        <f>'Exhibit 6.18'!G8</f>
        <v>460.27397260273972</v>
      </c>
      <c r="I9" s="37" t="s">
        <v>7</v>
      </c>
      <c r="J9" s="8">
        <f>-J8*C21</f>
        <v>-31.5</v>
      </c>
      <c r="K9" s="12"/>
    </row>
    <row r="10" spans="1:11" ht="15" thickBot="1">
      <c r="A10" s="32" t="s">
        <v>2</v>
      </c>
      <c r="B10" s="32">
        <f>'Exhibit 6.18'!B9</f>
        <v>-40</v>
      </c>
      <c r="C10" s="32">
        <f>'Exhibit 6.18'!C9</f>
        <v>-42</v>
      </c>
      <c r="D10" s="13"/>
      <c r="E10" s="33" t="s">
        <v>21</v>
      </c>
      <c r="F10" s="33">
        <f>SUM(F8:F9)</f>
        <v>508.49315068493149</v>
      </c>
      <c r="G10" s="33">
        <f>SUM(G8:G9)</f>
        <v>533.91780821917803</v>
      </c>
      <c r="I10" s="9" t="s">
        <v>19</v>
      </c>
      <c r="J10" s="11">
        <f>SUM(J8:J9)</f>
        <v>94.5</v>
      </c>
      <c r="K10" s="12"/>
    </row>
    <row r="11" spans="1:11" ht="15" thickTop="1">
      <c r="A11" s="31" t="s">
        <v>3</v>
      </c>
      <c r="B11" s="13">
        <f>SUM(B8:B10)</f>
        <v>120</v>
      </c>
      <c r="C11" s="13">
        <f>SUM(C8:C10)</f>
        <v>126</v>
      </c>
      <c r="D11" s="13"/>
      <c r="E11" s="13"/>
      <c r="F11" s="13"/>
      <c r="G11" s="13"/>
      <c r="I11" s="9"/>
      <c r="J11" s="12"/>
      <c r="K11" s="12"/>
    </row>
    <row r="12" spans="1:11">
      <c r="A12" s="31"/>
      <c r="B12" s="13"/>
      <c r="C12" s="13"/>
      <c r="D12" s="13"/>
      <c r="E12" s="13" t="s">
        <v>4</v>
      </c>
      <c r="F12" s="13">
        <f>'Exhibit 6.18'!F11</f>
        <v>200</v>
      </c>
      <c r="G12" s="13">
        <f>'Exhibit 6.18'!G11</f>
        <v>210</v>
      </c>
      <c r="I12" s="37" t="s">
        <v>2</v>
      </c>
      <c r="J12" s="8">
        <f>-C10</f>
        <v>42</v>
      </c>
      <c r="K12" s="12"/>
    </row>
    <row r="13" spans="1:11">
      <c r="A13" s="32" t="s">
        <v>8</v>
      </c>
      <c r="B13" s="32">
        <f>'Exhibit 6.18'!B12</f>
        <v>-16</v>
      </c>
      <c r="C13" s="32">
        <f>'Exhibit 6.18'!C12</f>
        <v>-16</v>
      </c>
      <c r="D13" s="13"/>
      <c r="E13" s="13" t="s">
        <v>17</v>
      </c>
      <c r="F13" s="13">
        <f>'Exhibit 6.18'!F12</f>
        <v>308.49315068493149</v>
      </c>
      <c r="G13" s="13">
        <f>'Exhibit 6.18'!G12</f>
        <v>323.91780821917803</v>
      </c>
      <c r="I13" s="9" t="s">
        <v>24</v>
      </c>
      <c r="J13" s="11">
        <f>SUM(J10:J12)</f>
        <v>136.5</v>
      </c>
      <c r="K13" s="12"/>
    </row>
    <row r="14" spans="1:11" ht="15" thickBot="1">
      <c r="A14" s="31" t="s">
        <v>9</v>
      </c>
      <c r="B14" s="13">
        <f>SUM(B11:B13)</f>
        <v>104</v>
      </c>
      <c r="C14" s="13">
        <f>SUM(C11:C13)</f>
        <v>110</v>
      </c>
      <c r="D14" s="13"/>
      <c r="E14" s="33" t="s">
        <v>21</v>
      </c>
      <c r="F14" s="33">
        <f>SUM(F12:F13)</f>
        <v>508.49315068493149</v>
      </c>
      <c r="G14" s="33">
        <f>SUM(G12:G13)</f>
        <v>533.91780821917803</v>
      </c>
      <c r="I14" s="9"/>
      <c r="J14" s="12"/>
      <c r="K14" s="12"/>
    </row>
    <row r="15" spans="1:11" ht="15" thickTop="1">
      <c r="A15" s="31"/>
      <c r="B15" s="13"/>
      <c r="C15" s="13"/>
      <c r="D15" s="13"/>
      <c r="E15" s="13"/>
      <c r="F15" s="13"/>
      <c r="G15" s="13"/>
      <c r="I15" s="9" t="s">
        <v>22</v>
      </c>
      <c r="J15" s="13">
        <f>F8-G8</f>
        <v>-3.506849315068493</v>
      </c>
      <c r="K15" s="12"/>
    </row>
    <row r="16" spans="1:11">
      <c r="A16" s="31" t="s">
        <v>10</v>
      </c>
      <c r="B16" s="13">
        <f>'Exhibit 6.18'!B15</f>
        <v>-26</v>
      </c>
      <c r="C16" s="13">
        <f>'Exhibit 6.18'!C15</f>
        <v>-27.5</v>
      </c>
      <c r="D16" s="13"/>
      <c r="E16" s="13"/>
      <c r="F16" s="13"/>
      <c r="G16" s="13"/>
      <c r="I16" s="9" t="s">
        <v>23</v>
      </c>
      <c r="J16" s="13">
        <f>F9-G9+C10</f>
        <v>-63.917808219178085</v>
      </c>
      <c r="K16" s="12"/>
    </row>
    <row r="17" spans="1:14" ht="15" thickBot="1">
      <c r="A17" s="33" t="s">
        <v>11</v>
      </c>
      <c r="B17" s="33">
        <f>SUM(B14:B16)</f>
        <v>78</v>
      </c>
      <c r="C17" s="33">
        <f>SUM(C14:C16)</f>
        <v>82.5</v>
      </c>
      <c r="D17" s="13"/>
      <c r="E17" s="13"/>
      <c r="F17" s="13"/>
      <c r="G17" s="13"/>
      <c r="I17" s="38" t="s">
        <v>14</v>
      </c>
      <c r="J17" s="35">
        <f>SUM(J13:J16)</f>
        <v>69.075342465753408</v>
      </c>
      <c r="K17" s="12"/>
      <c r="L17" s="12"/>
      <c r="M17" s="12"/>
      <c r="N17" s="12"/>
    </row>
    <row r="18" spans="1:14" ht="15" thickTop="1">
      <c r="G18" s="5"/>
      <c r="I18" s="12"/>
      <c r="J18" s="12"/>
      <c r="K18" s="12"/>
      <c r="L18" s="12"/>
      <c r="M18" s="12"/>
      <c r="N18" s="12"/>
    </row>
    <row r="19" spans="1:14">
      <c r="I19" s="12"/>
      <c r="J19" s="12"/>
      <c r="K19" s="12"/>
      <c r="L19" s="12"/>
      <c r="M19" s="12"/>
      <c r="N19" s="12"/>
    </row>
    <row r="20" spans="1:14">
      <c r="A20" s="27" t="s">
        <v>68</v>
      </c>
      <c r="G20" s="5"/>
      <c r="I20" s="12"/>
      <c r="J20" s="12"/>
      <c r="K20" s="12"/>
      <c r="L20" s="12"/>
      <c r="M20" s="12"/>
      <c r="N20" s="12"/>
    </row>
    <row r="21" spans="1:14">
      <c r="A21" t="s">
        <v>69</v>
      </c>
      <c r="B21" s="1">
        <v>0.25</v>
      </c>
      <c r="C21" s="1">
        <v>0.25</v>
      </c>
      <c r="I21" s="12"/>
      <c r="J21" s="13"/>
      <c r="K21" s="36"/>
      <c r="L21" s="36"/>
      <c r="M21" s="12"/>
      <c r="N21" s="12"/>
    </row>
    <row r="22" spans="1:14">
      <c r="I22" s="12"/>
      <c r="J22" s="13"/>
      <c r="K22" s="36"/>
      <c r="L22" s="36"/>
      <c r="M22" s="12"/>
      <c r="N22" s="12"/>
    </row>
    <row r="23" spans="1:14">
      <c r="I23" s="12"/>
      <c r="J23" s="13"/>
      <c r="K23" s="12"/>
      <c r="L23" s="36"/>
      <c r="M23" s="12"/>
      <c r="N23" s="12"/>
    </row>
    <row r="24" spans="1:14">
      <c r="I24" s="12"/>
      <c r="J24" s="12"/>
      <c r="K24" s="12"/>
      <c r="L24" s="12"/>
      <c r="M24" s="12"/>
      <c r="N24" s="12"/>
    </row>
    <row r="25" spans="1:14">
      <c r="I25" s="12"/>
      <c r="J25" s="12"/>
      <c r="K25" s="12"/>
      <c r="L25" s="12"/>
      <c r="M25" s="12"/>
      <c r="N25" s="12"/>
    </row>
    <row r="26" spans="1:14">
      <c r="I26" s="12"/>
      <c r="J26" s="12"/>
      <c r="K26" s="12"/>
      <c r="L26" s="12"/>
      <c r="M26" s="12"/>
      <c r="N26" s="12"/>
    </row>
    <row r="27" spans="1:14">
      <c r="I27" s="12"/>
      <c r="J27" s="12"/>
      <c r="K27" s="12"/>
      <c r="L27" s="12"/>
      <c r="M27" s="13"/>
      <c r="N27" s="12"/>
    </row>
    <row r="28" spans="1:14">
      <c r="I28" s="12"/>
      <c r="J28" s="12"/>
      <c r="K28" s="12"/>
      <c r="L28" s="12"/>
      <c r="M28" s="12"/>
      <c r="N28" s="12"/>
    </row>
    <row r="29" spans="1:14">
      <c r="I29" s="12"/>
      <c r="J29" s="12"/>
      <c r="K29" s="12"/>
      <c r="L29" s="9"/>
      <c r="M29" s="12"/>
      <c r="N29" s="12"/>
    </row>
    <row r="30" spans="1:14">
      <c r="I30" s="12"/>
      <c r="J30" s="12"/>
      <c r="K30" s="12"/>
      <c r="L30" s="12"/>
      <c r="M30" s="12"/>
      <c r="N30" s="12"/>
    </row>
    <row r="31" spans="1:14">
      <c r="I31" s="12"/>
      <c r="J31" s="12"/>
      <c r="K31" s="12"/>
      <c r="L31" s="12"/>
      <c r="M31" s="12"/>
      <c r="N31" s="12"/>
    </row>
    <row r="32" spans="1:14">
      <c r="I32" s="12"/>
      <c r="J32" s="12"/>
      <c r="K32" s="12"/>
      <c r="L32" s="12"/>
      <c r="M32" s="12"/>
      <c r="N32" s="12"/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4"/>
  <sheetViews>
    <sheetView zoomScale="85" zoomScaleNormal="85" workbookViewId="0">
      <selection activeCell="A2" sqref="A2"/>
    </sheetView>
  </sheetViews>
  <sheetFormatPr defaultRowHeight="14.4"/>
  <cols>
    <col min="1" max="1" width="21.44140625" customWidth="1"/>
    <col min="2" max="7" width="13.109375" customWidth="1"/>
  </cols>
  <sheetData>
    <row r="2" spans="1:7">
      <c r="A2" s="27" t="s">
        <v>42</v>
      </c>
    </row>
    <row r="3" spans="1:7">
      <c r="A3" t="s">
        <v>45</v>
      </c>
    </row>
    <row r="6" spans="1:7">
      <c r="A6" s="27" t="s">
        <v>26</v>
      </c>
    </row>
    <row r="7" spans="1:7">
      <c r="A7" t="s">
        <v>25</v>
      </c>
      <c r="B7" s="5">
        <v>50</v>
      </c>
    </row>
    <row r="8" spans="1:7">
      <c r="A8" s="41" t="s">
        <v>58</v>
      </c>
      <c r="B8" s="22">
        <v>19.164000000000001</v>
      </c>
      <c r="D8" s="51"/>
    </row>
    <row r="9" spans="1:7">
      <c r="A9" t="s">
        <v>26</v>
      </c>
      <c r="B9" s="5">
        <f>B7*B8</f>
        <v>958.2</v>
      </c>
      <c r="C9" s="51"/>
    </row>
    <row r="10" spans="1:7">
      <c r="B10" s="5"/>
      <c r="C10" s="51"/>
    </row>
    <row r="11" spans="1:7">
      <c r="B11" s="5"/>
    </row>
    <row r="12" spans="1:7">
      <c r="A12" s="27" t="s">
        <v>27</v>
      </c>
      <c r="B12" s="5"/>
    </row>
    <row r="13" spans="1:7">
      <c r="A13" s="27"/>
      <c r="B13" s="5"/>
    </row>
    <row r="14" spans="1:7">
      <c r="A14" s="12"/>
      <c r="B14" s="13"/>
      <c r="C14" s="42" t="s">
        <v>47</v>
      </c>
      <c r="D14" s="43"/>
      <c r="E14" s="43"/>
      <c r="F14" s="42" t="s">
        <v>48</v>
      </c>
      <c r="G14" s="42" t="s">
        <v>49</v>
      </c>
    </row>
    <row r="15" spans="1:7">
      <c r="A15" s="12"/>
      <c r="B15" s="28" t="s">
        <v>64</v>
      </c>
      <c r="C15" s="42" t="s">
        <v>50</v>
      </c>
      <c r="D15" s="42" t="s">
        <v>51</v>
      </c>
      <c r="E15" s="42" t="s">
        <v>52</v>
      </c>
      <c r="F15" s="42" t="s">
        <v>53</v>
      </c>
      <c r="G15" s="42" t="s">
        <v>54</v>
      </c>
    </row>
    <row r="16" spans="1:7">
      <c r="A16" s="10" t="s">
        <v>63</v>
      </c>
      <c r="B16" s="30" t="s">
        <v>65</v>
      </c>
      <c r="C16" s="44" t="s">
        <v>55</v>
      </c>
      <c r="D16" s="44" t="s">
        <v>55</v>
      </c>
      <c r="E16" s="44" t="s">
        <v>56</v>
      </c>
      <c r="F16" s="44" t="s">
        <v>55</v>
      </c>
      <c r="G16" s="44" t="s">
        <v>57</v>
      </c>
    </row>
    <row r="17" spans="1:7">
      <c r="A17" s="12" t="s">
        <v>4</v>
      </c>
      <c r="B17" s="13">
        <f>'Q1'!F12</f>
        <v>200</v>
      </c>
      <c r="C17" s="36">
        <f>B17/$B$19</f>
        <v>0.17268174753928509</v>
      </c>
      <c r="D17" s="45">
        <v>0.08</v>
      </c>
      <c r="E17" s="36">
        <f>-'Q1'!C16/'Q1'!C14</f>
        <v>0.25</v>
      </c>
      <c r="F17" s="45">
        <f>D17*(1-E17)</f>
        <v>0.06</v>
      </c>
      <c r="G17" s="45">
        <f>C17*F17</f>
        <v>1.0360904852357104E-2</v>
      </c>
    </row>
    <row r="18" spans="1:7">
      <c r="A18" s="12" t="s">
        <v>5</v>
      </c>
      <c r="B18" s="32">
        <f>B9</f>
        <v>958.2</v>
      </c>
      <c r="C18" s="47">
        <f>B18/$B$19</f>
        <v>0.82731825246071489</v>
      </c>
      <c r="D18" s="45">
        <v>0.12</v>
      </c>
      <c r="E18" s="45"/>
      <c r="F18" s="45">
        <f>D18</f>
        <v>0.12</v>
      </c>
      <c r="G18" s="46">
        <f>C18*F18</f>
        <v>9.9278190295285784E-2</v>
      </c>
    </row>
    <row r="19" spans="1:7">
      <c r="A19" s="12" t="s">
        <v>46</v>
      </c>
      <c r="B19" s="13">
        <f>SUM(B17:B18)</f>
        <v>1158.2</v>
      </c>
      <c r="C19" s="36">
        <f>B19/$B$19</f>
        <v>1</v>
      </c>
      <c r="D19" s="12"/>
      <c r="E19" s="12"/>
      <c r="F19" s="12"/>
      <c r="G19" s="45">
        <f>SUM(G17:G18)</f>
        <v>0.10963909514764289</v>
      </c>
    </row>
    <row r="22" spans="1:7">
      <c r="A22" s="27" t="s">
        <v>66</v>
      </c>
    </row>
    <row r="23" spans="1:7">
      <c r="A23" t="s">
        <v>93</v>
      </c>
    </row>
    <row r="24" spans="1:7">
      <c r="A24" t="s">
        <v>67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20"/>
  <sheetViews>
    <sheetView zoomScale="85" zoomScaleNormal="85" workbookViewId="0">
      <selection activeCell="A2" sqref="A2"/>
    </sheetView>
  </sheetViews>
  <sheetFormatPr defaultRowHeight="14.4"/>
  <cols>
    <col min="1" max="1" width="23.109375" customWidth="1"/>
  </cols>
  <sheetData>
    <row r="2" spans="1:2">
      <c r="A2" s="27" t="s">
        <v>42</v>
      </c>
    </row>
    <row r="3" spans="1:2">
      <c r="A3" t="s">
        <v>72</v>
      </c>
    </row>
    <row r="6" spans="1:2">
      <c r="A6" s="27" t="s">
        <v>59</v>
      </c>
    </row>
    <row r="7" spans="1:2">
      <c r="A7" t="s">
        <v>14</v>
      </c>
      <c r="B7" s="13">
        <f>'Q1'!J17</f>
        <v>69.075342465753408</v>
      </c>
    </row>
    <row r="8" spans="1:2">
      <c r="A8" t="s">
        <v>61</v>
      </c>
      <c r="B8" s="49">
        <f>'Q2'!G19</f>
        <v>0.10963909514764289</v>
      </c>
    </row>
    <row r="9" spans="1:2">
      <c r="A9" t="s">
        <v>60</v>
      </c>
      <c r="B9" s="14">
        <f>'Q1'!C8/'Q1'!B8-1</f>
        <v>5.0000000000000044E-2</v>
      </c>
    </row>
    <row r="11" spans="1:2">
      <c r="A11" t="s">
        <v>62</v>
      </c>
      <c r="B11" s="5">
        <f>B7/(B8-B9)</f>
        <v>1158.2225098276583</v>
      </c>
    </row>
    <row r="14" spans="1:2">
      <c r="A14" s="27" t="s">
        <v>70</v>
      </c>
    </row>
    <row r="15" spans="1:2">
      <c r="A15" t="s">
        <v>62</v>
      </c>
      <c r="B15" s="5">
        <f>B11</f>
        <v>1158.2225098276583</v>
      </c>
    </row>
    <row r="16" spans="1:2">
      <c r="A16" s="4" t="s">
        <v>71</v>
      </c>
      <c r="B16" s="48">
        <f>-'Q1'!F12</f>
        <v>-200</v>
      </c>
    </row>
    <row r="17" spans="1:2">
      <c r="A17" t="s">
        <v>26</v>
      </c>
      <c r="B17" s="5">
        <f>SUM(B15:B16)</f>
        <v>958.22250982765831</v>
      </c>
    </row>
    <row r="18" spans="1:2">
      <c r="B18" s="5"/>
    </row>
    <row r="19" spans="1:2">
      <c r="A19" s="4" t="s">
        <v>25</v>
      </c>
      <c r="B19" s="32">
        <f>'Q2'!B7</f>
        <v>50</v>
      </c>
    </row>
    <row r="20" spans="1:2">
      <c r="A20" t="s">
        <v>73</v>
      </c>
      <c r="B20" s="50">
        <f>B17/B19</f>
        <v>19.164450196553165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40"/>
  <sheetViews>
    <sheetView tabSelected="1" zoomScale="85" zoomScaleNormal="85" workbookViewId="0">
      <selection activeCell="A30" sqref="A30"/>
    </sheetView>
  </sheetViews>
  <sheetFormatPr defaultRowHeight="14.4"/>
  <cols>
    <col min="1" max="1" width="21.109375" customWidth="1"/>
    <col min="4" max="4" width="20.33203125" customWidth="1"/>
  </cols>
  <sheetData>
    <row r="2" spans="1:5">
      <c r="A2" s="27" t="s">
        <v>42</v>
      </c>
    </row>
    <row r="3" spans="1:5">
      <c r="A3" t="s">
        <v>74</v>
      </c>
    </row>
    <row r="5" spans="1:5">
      <c r="A5" s="40" t="s">
        <v>75</v>
      </c>
      <c r="B5" s="12"/>
      <c r="D5" s="40" t="s">
        <v>78</v>
      </c>
    </row>
    <row r="7" spans="1:5" ht="15" thickBot="1">
      <c r="A7" s="52"/>
      <c r="B7" s="53" t="str">
        <f>'Q1'!J7</f>
        <v>Year 1</v>
      </c>
      <c r="D7" s="52" t="s">
        <v>80</v>
      </c>
      <c r="E7" s="53" t="str">
        <f>B7</f>
        <v>Year 1</v>
      </c>
    </row>
    <row r="8" spans="1:5">
      <c r="A8" s="9" t="s">
        <v>100</v>
      </c>
      <c r="B8" s="54">
        <f>'Q1'!J8</f>
        <v>126</v>
      </c>
      <c r="D8" t="s">
        <v>75</v>
      </c>
      <c r="E8" s="54">
        <f>B16</f>
        <v>38.749271070130085</v>
      </c>
    </row>
    <row r="9" spans="1:5">
      <c r="A9" s="9" t="s">
        <v>7</v>
      </c>
      <c r="B9" s="55">
        <f>'Q1'!J9</f>
        <v>-31.5</v>
      </c>
      <c r="D9" t="s">
        <v>61</v>
      </c>
      <c r="E9" s="14">
        <f>'Q2'!G19</f>
        <v>0.10963909514764289</v>
      </c>
    </row>
    <row r="10" spans="1:5">
      <c r="A10" s="9" t="s">
        <v>19</v>
      </c>
      <c r="B10" s="54">
        <f>'Q1'!J10</f>
        <v>94.5</v>
      </c>
      <c r="D10" t="s">
        <v>79</v>
      </c>
      <c r="E10" s="14">
        <f>'Q1'!C8/'Q1'!B8-1</f>
        <v>5.0000000000000044E-2</v>
      </c>
    </row>
    <row r="11" spans="1:5">
      <c r="D11" t="s">
        <v>80</v>
      </c>
      <c r="E11" s="5">
        <f>E8/(E9-E10)</f>
        <v>649.72935914272671</v>
      </c>
    </row>
    <row r="12" spans="1:5" ht="15.6">
      <c r="A12" t="s">
        <v>94</v>
      </c>
      <c r="B12" s="54">
        <f>'Q1'!F10</f>
        <v>508.49315068493149</v>
      </c>
    </row>
    <row r="13" spans="1:5">
      <c r="A13" s="65" t="s">
        <v>77</v>
      </c>
      <c r="B13" s="56">
        <f>'Q2'!G19</f>
        <v>0.10963909514764289</v>
      </c>
      <c r="D13" s="27" t="s">
        <v>28</v>
      </c>
    </row>
    <row r="14" spans="1:5" ht="15.6">
      <c r="A14" t="s">
        <v>76</v>
      </c>
      <c r="B14" s="54">
        <f>B12*B13</f>
        <v>55.750728929869915</v>
      </c>
      <c r="D14" t="s">
        <v>94</v>
      </c>
      <c r="E14" s="5">
        <f>B12</f>
        <v>508.49315068493149</v>
      </c>
    </row>
    <row r="15" spans="1:5">
      <c r="B15" s="54"/>
      <c r="D15" s="57" t="s">
        <v>80</v>
      </c>
      <c r="E15" s="48">
        <f>E11</f>
        <v>649.72935914272671</v>
      </c>
    </row>
    <row r="16" spans="1:5">
      <c r="A16" t="s">
        <v>75</v>
      </c>
      <c r="B16" s="54">
        <f>B10-B14</f>
        <v>38.749271070130085</v>
      </c>
      <c r="D16" t="s">
        <v>28</v>
      </c>
      <c r="E16" s="5">
        <f>SUM(E14:E15)</f>
        <v>1158.2225098276581</v>
      </c>
    </row>
    <row r="18" spans="1:10">
      <c r="D18" t="s">
        <v>81</v>
      </c>
      <c r="E18" s="5">
        <f>'Q3&amp;4'!B11</f>
        <v>1158.2225098276583</v>
      </c>
    </row>
    <row r="21" spans="1:10">
      <c r="A21" s="27" t="s">
        <v>66</v>
      </c>
    </row>
    <row r="22" spans="1:10">
      <c r="A22" t="s">
        <v>101</v>
      </c>
    </row>
    <row r="24" spans="1:10" s="27" customFormat="1">
      <c r="A24" s="27" t="s">
        <v>102</v>
      </c>
    </row>
    <row r="25" spans="1:10" s="61" customFormat="1"/>
    <row r="26" spans="1:10" s="61" customFormat="1">
      <c r="A26" s="62"/>
      <c r="B26" s="62" t="s">
        <v>95</v>
      </c>
      <c r="C26" s="62"/>
      <c r="D26" s="62"/>
      <c r="E26" s="62"/>
      <c r="F26" s="62"/>
      <c r="G26" s="62"/>
      <c r="H26" s="62"/>
      <c r="I26" s="62"/>
      <c r="J26" s="62"/>
    </row>
    <row r="27" spans="1:10" s="61" customFormat="1"/>
    <row r="28" spans="1:10" s="61" customFormat="1">
      <c r="A28" s="66" t="s">
        <v>103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 s="61" customFormat="1"/>
    <row r="30" spans="1:10" s="61" customFormat="1">
      <c r="A30" s="66" t="s">
        <v>104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10" s="61" customFormat="1"/>
    <row r="32" spans="1:10" s="61" customFormat="1">
      <c r="A32" s="62"/>
      <c r="B32" s="62" t="s">
        <v>96</v>
      </c>
      <c r="C32" s="62"/>
      <c r="D32" s="62"/>
      <c r="E32" s="62"/>
      <c r="F32" s="62"/>
      <c r="G32" s="62"/>
      <c r="H32" s="62"/>
      <c r="I32" s="62"/>
      <c r="J32" s="62"/>
    </row>
    <row r="33" spans="1:10" s="61" customFormat="1"/>
    <row r="34" spans="1:10" s="61" customFormat="1">
      <c r="A34" s="62"/>
      <c r="B34" s="63" t="s">
        <v>97</v>
      </c>
      <c r="C34" s="62"/>
      <c r="D34" s="62"/>
      <c r="E34" s="62"/>
      <c r="F34" s="62"/>
      <c r="G34" s="62"/>
      <c r="H34" s="62"/>
      <c r="I34" s="62"/>
      <c r="J34" s="62"/>
    </row>
    <row r="35" spans="1:10" s="61" customFormat="1"/>
    <row r="36" spans="1:10" s="61" customFormat="1">
      <c r="A36" s="62"/>
      <c r="B36" s="64">
        <f>94.5*(1-5%/11%)/(11%-5%)</f>
        <v>859.09090909090901</v>
      </c>
      <c r="C36" s="62"/>
      <c r="D36" s="62"/>
      <c r="E36" s="62"/>
      <c r="F36" s="62"/>
      <c r="G36" s="62"/>
      <c r="H36" s="62"/>
      <c r="I36" s="62"/>
      <c r="J36" s="62"/>
    </row>
    <row r="37" spans="1:10" s="61" customFormat="1"/>
    <row r="38" spans="1:10" s="61" customFormat="1">
      <c r="A38" s="62" t="s">
        <v>98</v>
      </c>
      <c r="B38" s="62"/>
      <c r="C38" s="62"/>
      <c r="D38" s="62"/>
      <c r="E38" s="62"/>
      <c r="F38" s="62"/>
      <c r="G38" s="62"/>
      <c r="H38" s="62"/>
      <c r="I38" s="62"/>
      <c r="J38" s="62"/>
    </row>
    <row r="39" spans="1:10" s="61" customFormat="1"/>
    <row r="40" spans="1:10" s="61" customFormat="1">
      <c r="A40" s="62" t="s">
        <v>99</v>
      </c>
      <c r="B40" s="62"/>
      <c r="C40" s="62"/>
      <c r="D40" s="62"/>
      <c r="E40" s="62"/>
      <c r="F40" s="62"/>
      <c r="G40" s="62"/>
      <c r="H40" s="62"/>
      <c r="I40" s="62"/>
      <c r="J40" s="62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6"/>
  <sheetViews>
    <sheetView zoomScale="85" zoomScaleNormal="85" workbookViewId="0">
      <selection activeCell="A2" sqref="A2"/>
    </sheetView>
  </sheetViews>
  <sheetFormatPr defaultRowHeight="14.4"/>
  <cols>
    <col min="1" max="1" width="26.6640625" customWidth="1"/>
    <col min="4" max="4" width="21.109375" customWidth="1"/>
  </cols>
  <sheetData>
    <row r="2" spans="1:5">
      <c r="A2" s="27" t="s">
        <v>42</v>
      </c>
    </row>
    <row r="3" spans="1:5">
      <c r="A3" t="s">
        <v>84</v>
      </c>
    </row>
    <row r="6" spans="1:5">
      <c r="A6" s="40" t="s">
        <v>82</v>
      </c>
      <c r="B6" s="12"/>
      <c r="D6" s="40" t="s">
        <v>85</v>
      </c>
    </row>
    <row r="8" spans="1:5">
      <c r="A8" s="9" t="s">
        <v>31</v>
      </c>
      <c r="B8" s="13">
        <f>'Q1'!C17</f>
        <v>82.5</v>
      </c>
      <c r="D8" t="s">
        <v>82</v>
      </c>
      <c r="E8" s="5">
        <f>B15</f>
        <v>67.075342465753423</v>
      </c>
    </row>
    <row r="9" spans="1:5">
      <c r="A9" s="37" t="s">
        <v>2</v>
      </c>
      <c r="B9" s="32">
        <f>'Q1'!J12</f>
        <v>42</v>
      </c>
      <c r="D9" t="s">
        <v>30</v>
      </c>
      <c r="E9" s="14">
        <f>'Q2'!D18</f>
        <v>0.12</v>
      </c>
    </row>
    <row r="10" spans="1:5">
      <c r="A10" s="9" t="s">
        <v>24</v>
      </c>
      <c r="B10" s="13">
        <f>SUM(B8:B9)</f>
        <v>124.5</v>
      </c>
      <c r="D10" s="57" t="s">
        <v>86</v>
      </c>
      <c r="E10" s="58">
        <f>'Q1'!C8/'Q1'!B8-1</f>
        <v>5.0000000000000044E-2</v>
      </c>
    </row>
    <row r="11" spans="1:5">
      <c r="A11" s="9"/>
      <c r="B11" s="13"/>
      <c r="D11" t="s">
        <v>87</v>
      </c>
      <c r="E11" s="59">
        <f>E8/(E9-E10)</f>
        <v>958.21917808219246</v>
      </c>
    </row>
    <row r="12" spans="1:5">
      <c r="A12" s="9" t="s">
        <v>22</v>
      </c>
      <c r="B12" s="13">
        <f>'Q1'!J15</f>
        <v>-3.506849315068493</v>
      </c>
    </row>
    <row r="13" spans="1:5">
      <c r="A13" s="9" t="s">
        <v>23</v>
      </c>
      <c r="B13" s="13">
        <f>'Q1'!J16</f>
        <v>-63.917808219178085</v>
      </c>
    </row>
    <row r="14" spans="1:5">
      <c r="A14" s="9" t="s">
        <v>83</v>
      </c>
      <c r="B14" s="13">
        <f>'Q1'!G12-'Q1'!F12</f>
        <v>10</v>
      </c>
    </row>
    <row r="15" spans="1:5" ht="15" thickBot="1">
      <c r="A15" s="38" t="s">
        <v>82</v>
      </c>
      <c r="B15" s="33">
        <f>SUM(B10:B14)</f>
        <v>67.075342465753423</v>
      </c>
    </row>
    <row r="16" spans="1:5" ht="15" thickTop="1"/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2"/>
  <sheetViews>
    <sheetView zoomScale="85" zoomScaleNormal="85" workbookViewId="0">
      <selection activeCell="A2" sqref="A2"/>
    </sheetView>
  </sheetViews>
  <sheetFormatPr defaultRowHeight="14.4"/>
  <cols>
    <col min="1" max="1" width="22" customWidth="1"/>
    <col min="5" max="5" width="24.5546875" customWidth="1"/>
  </cols>
  <sheetData>
    <row r="2" spans="1:7" ht="18.600000000000001" thickBot="1">
      <c r="A2" s="15" t="s">
        <v>33</v>
      </c>
      <c r="B2" s="16"/>
      <c r="C2" s="16"/>
      <c r="D2" s="16"/>
      <c r="E2" s="16"/>
      <c r="F2" s="16"/>
      <c r="G2" s="16"/>
    </row>
    <row r="3" spans="1:7">
      <c r="A3" s="6"/>
      <c r="B3" s="6"/>
      <c r="C3" s="6"/>
      <c r="D3" s="6"/>
      <c r="E3" s="6"/>
      <c r="F3" s="6"/>
      <c r="G3" s="6"/>
    </row>
    <row r="4" spans="1:7">
      <c r="A4" s="6" t="s">
        <v>18</v>
      </c>
      <c r="B4" s="6"/>
      <c r="C4" s="6"/>
      <c r="D4" s="6"/>
      <c r="E4" s="6"/>
      <c r="F4" s="17"/>
      <c r="G4" s="17"/>
    </row>
    <row r="5" spans="1:7">
      <c r="A5" s="6"/>
      <c r="B5" s="6"/>
      <c r="C5" s="6"/>
      <c r="D5" s="6"/>
      <c r="E5" s="6"/>
      <c r="F5" s="17"/>
      <c r="G5" s="17"/>
    </row>
    <row r="6" spans="1:7">
      <c r="A6" s="18" t="s">
        <v>6</v>
      </c>
      <c r="B6" s="19" t="s">
        <v>15</v>
      </c>
      <c r="C6" s="19" t="s">
        <v>13</v>
      </c>
      <c r="D6" s="6"/>
      <c r="E6" s="18" t="s">
        <v>20</v>
      </c>
      <c r="F6" s="19" t="str">
        <f>B6</f>
        <v>Today</v>
      </c>
      <c r="G6" s="19" t="str">
        <f>C6</f>
        <v>Year 1</v>
      </c>
    </row>
    <row r="7" spans="1:7" ht="16.2">
      <c r="A7" s="6" t="s">
        <v>0</v>
      </c>
      <c r="B7" s="6">
        <v>800</v>
      </c>
      <c r="C7" s="6">
        <f>B7*(1+C26)</f>
        <v>840</v>
      </c>
      <c r="D7" s="6"/>
      <c r="E7" s="6" t="s">
        <v>32</v>
      </c>
      <c r="F7" s="6">
        <f>-B$8*F26/365</f>
        <v>70.136986301369859</v>
      </c>
      <c r="G7" s="6">
        <f>-C$8*G26/365</f>
        <v>73.643835616438352</v>
      </c>
    </row>
    <row r="8" spans="1:7">
      <c r="A8" s="20" t="s">
        <v>1</v>
      </c>
      <c r="B8" s="6">
        <f>-B$7*B27</f>
        <v>-640</v>
      </c>
      <c r="C8" s="6">
        <f>-C$7*C27</f>
        <v>-672</v>
      </c>
      <c r="D8" s="6"/>
      <c r="E8" s="20" t="s">
        <v>16</v>
      </c>
      <c r="F8" s="6">
        <f>B$7*F27/365</f>
        <v>438.35616438356163</v>
      </c>
      <c r="G8" s="6">
        <f>C$7*G27/365</f>
        <v>460.27397260273972</v>
      </c>
    </row>
    <row r="9" spans="1:7" ht="15" thickBot="1">
      <c r="A9" s="20" t="s">
        <v>2</v>
      </c>
      <c r="B9" s="21">
        <f>-B$7*B28</f>
        <v>-40</v>
      </c>
      <c r="C9" s="21">
        <f>-C$7*C28</f>
        <v>-42</v>
      </c>
      <c r="D9" s="6"/>
      <c r="E9" s="20" t="s">
        <v>21</v>
      </c>
      <c r="F9" s="7">
        <f>SUM(F7:F8)</f>
        <v>508.49315068493149</v>
      </c>
      <c r="G9" s="7">
        <f>SUM(G7:G8)</f>
        <v>533.91780821917803</v>
      </c>
    </row>
    <row r="10" spans="1:7" ht="15" thickTop="1">
      <c r="A10" s="20" t="s">
        <v>3</v>
      </c>
      <c r="B10" s="6">
        <f>SUM(B7:B9)</f>
        <v>120</v>
      </c>
      <c r="C10" s="6">
        <f>SUM(C7:C9)</f>
        <v>126</v>
      </c>
      <c r="D10" s="6"/>
      <c r="E10" s="20"/>
      <c r="F10" s="6"/>
      <c r="G10" s="6"/>
    </row>
    <row r="11" spans="1:7">
      <c r="A11" s="20"/>
      <c r="B11" s="6"/>
      <c r="C11" s="6"/>
      <c r="D11" s="6"/>
      <c r="E11" s="20" t="s">
        <v>4</v>
      </c>
      <c r="F11" s="6">
        <v>200</v>
      </c>
      <c r="G11" s="6">
        <f>F11*(1+C26)</f>
        <v>210</v>
      </c>
    </row>
    <row r="12" spans="1:7">
      <c r="A12" s="20" t="s">
        <v>8</v>
      </c>
      <c r="B12" s="21">
        <f>-F11*B31</f>
        <v>-16</v>
      </c>
      <c r="C12" s="21">
        <f>-F11*C31</f>
        <v>-16</v>
      </c>
      <c r="D12" s="6"/>
      <c r="E12" s="20" t="s">
        <v>17</v>
      </c>
      <c r="F12" s="6">
        <f>F13-F11</f>
        <v>308.49315068493149</v>
      </c>
      <c r="G12" s="6">
        <f>G13-G11</f>
        <v>323.91780821917803</v>
      </c>
    </row>
    <row r="13" spans="1:7" ht="15" thickBot="1">
      <c r="A13" s="20" t="s">
        <v>9</v>
      </c>
      <c r="B13" s="6">
        <f>SUM(B10:B12)</f>
        <v>104</v>
      </c>
      <c r="C13" s="6">
        <f>SUM(C10:C12)</f>
        <v>110</v>
      </c>
      <c r="D13" s="6"/>
      <c r="E13" s="20" t="s">
        <v>21</v>
      </c>
      <c r="F13" s="7">
        <f>F9</f>
        <v>508.49315068493149</v>
      </c>
      <c r="G13" s="7">
        <f>G9</f>
        <v>533.91780821917803</v>
      </c>
    </row>
    <row r="14" spans="1:7" ht="15" thickTop="1">
      <c r="A14" s="20"/>
      <c r="B14" s="6"/>
      <c r="C14" s="6"/>
      <c r="D14" s="6"/>
      <c r="E14" s="6"/>
      <c r="F14" s="6"/>
      <c r="G14" s="6"/>
    </row>
    <row r="15" spans="1:7">
      <c r="A15" s="20" t="s">
        <v>10</v>
      </c>
      <c r="B15" s="6">
        <f>-B13*B32</f>
        <v>-26</v>
      </c>
      <c r="C15" s="6">
        <f>-C13*C32</f>
        <v>-27.5</v>
      </c>
      <c r="D15" s="6"/>
      <c r="E15" s="6"/>
      <c r="F15" s="6"/>
      <c r="G15" s="6"/>
    </row>
    <row r="16" spans="1:7" ht="15" thickBot="1">
      <c r="A16" s="20" t="s">
        <v>11</v>
      </c>
      <c r="B16" s="7">
        <f>SUM(B13:B15)</f>
        <v>78</v>
      </c>
      <c r="C16" s="7">
        <f>SUM(C13:C15)</f>
        <v>82.5</v>
      </c>
      <c r="D16" s="6"/>
      <c r="E16" s="6"/>
      <c r="F16" s="6"/>
      <c r="G16" s="6"/>
    </row>
    <row r="17" spans="1:7" ht="15" thickTop="1">
      <c r="A17" s="21"/>
      <c r="B17" s="21"/>
      <c r="C17" s="21"/>
      <c r="D17" s="21"/>
      <c r="E17" s="21"/>
      <c r="F17" s="21"/>
      <c r="G17" s="21"/>
    </row>
    <row r="18" spans="1:7" ht="16.2">
      <c r="A18" s="23" t="s">
        <v>34</v>
      </c>
      <c r="B18" s="6"/>
      <c r="C18" s="6"/>
      <c r="D18" s="6"/>
      <c r="E18" s="6"/>
      <c r="F18" s="6"/>
      <c r="G18" s="6"/>
    </row>
    <row r="23" spans="1:7">
      <c r="A23" s="27" t="s">
        <v>92</v>
      </c>
    </row>
    <row r="25" spans="1:7">
      <c r="A25" s="2" t="s">
        <v>6</v>
      </c>
      <c r="B25" s="3" t="str">
        <f>B6</f>
        <v>Today</v>
      </c>
      <c r="C25" s="3" t="str">
        <f>C6</f>
        <v>Year 1</v>
      </c>
      <c r="E25" s="2" t="s">
        <v>12</v>
      </c>
      <c r="F25" s="3" t="str">
        <f>F6</f>
        <v>Today</v>
      </c>
      <c r="G25" s="3" t="str">
        <f>G6</f>
        <v>Year 1</v>
      </c>
    </row>
    <row r="26" spans="1:7">
      <c r="A26" t="s">
        <v>91</v>
      </c>
      <c r="B26" s="60" t="s">
        <v>90</v>
      </c>
      <c r="C26" s="14">
        <v>0.05</v>
      </c>
      <c r="E26" t="s">
        <v>89</v>
      </c>
      <c r="F26" s="59">
        <v>40</v>
      </c>
      <c r="G26" s="59">
        <v>40</v>
      </c>
    </row>
    <row r="27" spans="1:7">
      <c r="A27" t="s">
        <v>1</v>
      </c>
      <c r="B27" s="14">
        <v>0.8</v>
      </c>
      <c r="C27" s="14">
        <v>0.8</v>
      </c>
      <c r="E27" t="s">
        <v>88</v>
      </c>
      <c r="F27" s="59">
        <v>200</v>
      </c>
      <c r="G27" s="59">
        <v>200</v>
      </c>
    </row>
    <row r="28" spans="1:7">
      <c r="A28" s="57" t="s">
        <v>2</v>
      </c>
      <c r="B28" s="14">
        <v>0.05</v>
      </c>
      <c r="C28" s="14">
        <v>0.05</v>
      </c>
    </row>
    <row r="29" spans="1:7">
      <c r="A29" t="s">
        <v>3</v>
      </c>
      <c r="B29" s="14">
        <f>B10/B7</f>
        <v>0.15</v>
      </c>
      <c r="C29" s="14">
        <f>C10/C7</f>
        <v>0.15</v>
      </c>
    </row>
    <row r="31" spans="1:7">
      <c r="A31" t="s">
        <v>29</v>
      </c>
      <c r="B31" s="49">
        <v>0.08</v>
      </c>
      <c r="C31" s="49">
        <v>0.08</v>
      </c>
      <c r="F31" s="1"/>
    </row>
    <row r="32" spans="1:7">
      <c r="A32" t="s">
        <v>10</v>
      </c>
      <c r="B32" s="49">
        <v>0.25</v>
      </c>
      <c r="C32" s="49">
        <v>0.25</v>
      </c>
      <c r="F3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Q1</vt:lpstr>
      <vt:lpstr>Q2</vt:lpstr>
      <vt:lpstr>Q3&amp;4</vt:lpstr>
      <vt:lpstr>Q5&amp;6</vt:lpstr>
      <vt:lpstr>Q7</vt:lpstr>
      <vt:lpstr>Exhibit 6.18</vt:lpstr>
    </vt:vector>
  </TitlesOfParts>
  <Company>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David Wessels</dc:creator>
  <cp:lastModifiedBy>WileyService</cp:lastModifiedBy>
  <cp:lastPrinted>2010-03-19T07:51:29Z</cp:lastPrinted>
  <dcterms:created xsi:type="dcterms:W3CDTF">2010-03-17T19:38:23Z</dcterms:created>
  <dcterms:modified xsi:type="dcterms:W3CDTF">2010-11-11T21:47:42Z</dcterms:modified>
</cp:coreProperties>
</file>